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parker\Dropbox (PBP)\David's Documents\MDCE Conference-Orlando\MDCE 2016\MDCE 2016 Presentation\"/>
    </mc:Choice>
  </mc:AlternateContent>
  <bookViews>
    <workbookView xWindow="0" yWindow="0" windowWidth="13584" windowHeight="5808" activeTab="2"/>
  </bookViews>
  <sheets>
    <sheet name="Sales Dept" sheetId="5" r:id="rId1"/>
    <sheet name="Parts Dept" sheetId="6" r:id="rId2"/>
    <sheet name="Service Dept" sheetId="7" r:id="rId3"/>
    <sheet name="Gen Mgr" sheetId="8" r:id="rId4"/>
  </sheets>
  <definedNames>
    <definedName name="_xlnm.Print_Area" localSheetId="3">'Gen Mgr'!#REF!</definedName>
    <definedName name="_xlnm.Print_Area" localSheetId="1">'Parts Dept'!$K$1:$S$39</definedName>
    <definedName name="_xlnm.Print_Area" localSheetId="0">'Sales Dept'!$K$1:$S$26</definedName>
    <definedName name="_xlnm.Print_Area" localSheetId="2">'Service Dept'!$AE$1:$AS$33</definedName>
  </definedNames>
  <calcPr calcId="171027"/>
</workbook>
</file>

<file path=xl/calcChain.xml><?xml version="1.0" encoding="utf-8"?>
<calcChain xmlns="http://schemas.openxmlformats.org/spreadsheetml/2006/main">
  <c r="D7" i="8" l="1"/>
  <c r="F7" i="8" s="1"/>
  <c r="AY29" i="7"/>
  <c r="AY28" i="7"/>
  <c r="AY27" i="7"/>
  <c r="AY26" i="7"/>
  <c r="AY25" i="7"/>
  <c r="AY24" i="7"/>
  <c r="AW24" i="7"/>
  <c r="BB23" i="7"/>
  <c r="BB24" i="7" s="1"/>
  <c r="BB25" i="7" s="1"/>
  <c r="BB26" i="7" s="1"/>
  <c r="BB27" i="7" s="1"/>
  <c r="BB28" i="7" s="1"/>
  <c r="BB29" i="7" s="1"/>
  <c r="AY23" i="7"/>
  <c r="AW23" i="7"/>
  <c r="AX23" i="7" s="1"/>
  <c r="BB22" i="7"/>
  <c r="BC22" i="7" s="1"/>
  <c r="BD22" i="7" s="1"/>
  <c r="AY22" i="7"/>
  <c r="AX22" i="7"/>
  <c r="AW22" i="7"/>
  <c r="BD21" i="7"/>
  <c r="AY21" i="7"/>
  <c r="AX21" i="7"/>
  <c r="BC21" i="7" s="1"/>
  <c r="BB15" i="7"/>
  <c r="AW15" i="7"/>
  <c r="BD19" i="7" s="1"/>
  <c r="BC13" i="7"/>
  <c r="BD13" i="7" s="1"/>
  <c r="AZ13" i="7"/>
  <c r="BA13" i="7" s="1"/>
  <c r="BC12" i="7"/>
  <c r="BD12" i="7" s="1"/>
  <c r="BA12" i="7"/>
  <c r="AZ12" i="7"/>
  <c r="BC11" i="7"/>
  <c r="BD11" i="7" s="1"/>
  <c r="AZ11" i="7"/>
  <c r="BA11" i="7" s="1"/>
  <c r="BD10" i="7"/>
  <c r="BC10" i="7"/>
  <c r="AZ10" i="7"/>
  <c r="BA10" i="7" s="1"/>
  <c r="BC9" i="7"/>
  <c r="BA9" i="7"/>
  <c r="AZ9" i="7"/>
  <c r="BA6" i="7"/>
  <c r="AW6" i="7"/>
  <c r="AZ25" i="7" s="1"/>
  <c r="BE4" i="7"/>
  <c r="BC4" i="7"/>
  <c r="AZ4" i="7"/>
  <c r="BB4" i="7" s="1"/>
  <c r="X21" i="7"/>
  <c r="G10" i="8"/>
  <c r="F26" i="8"/>
  <c r="I14" i="8"/>
  <c r="E6" i="8"/>
  <c r="D6" i="8"/>
  <c r="F6" i="8" s="1"/>
  <c r="E5" i="8"/>
  <c r="D5" i="8"/>
  <c r="AG14" i="7"/>
  <c r="Q14" i="7"/>
  <c r="Q15" i="7" s="1"/>
  <c r="AI29" i="7"/>
  <c r="AI28" i="7"/>
  <c r="AI27" i="7"/>
  <c r="AI26" i="7"/>
  <c r="AI25" i="7"/>
  <c r="AI24" i="7"/>
  <c r="AL23" i="7"/>
  <c r="AL24" i="7" s="1"/>
  <c r="AL25" i="7" s="1"/>
  <c r="AL26" i="7" s="1"/>
  <c r="AL27" i="7" s="1"/>
  <c r="AL28" i="7" s="1"/>
  <c r="AL29" i="7" s="1"/>
  <c r="AI23" i="7"/>
  <c r="AL22" i="7"/>
  <c r="AI22" i="7"/>
  <c r="AH22" i="7"/>
  <c r="AM22" i="7" s="1"/>
  <c r="AN22" i="7" s="1"/>
  <c r="AG22" i="7"/>
  <c r="AG23" i="7" s="1"/>
  <c r="AM21" i="7"/>
  <c r="AN21" i="7" s="1"/>
  <c r="AI21" i="7"/>
  <c r="AH21" i="7"/>
  <c r="AL15" i="7"/>
  <c r="AG15" i="7"/>
  <c r="AN19" i="7" s="1"/>
  <c r="AO22" i="7" s="1"/>
  <c r="AM13" i="7"/>
  <c r="AN13" i="7" s="1"/>
  <c r="AK13" i="7"/>
  <c r="AJ13" i="7"/>
  <c r="AM12" i="7"/>
  <c r="AN12" i="7" s="1"/>
  <c r="AK12" i="7"/>
  <c r="AJ12" i="7"/>
  <c r="AM11" i="7"/>
  <c r="AN11" i="7" s="1"/>
  <c r="AK11" i="7"/>
  <c r="AJ11" i="7"/>
  <c r="AM10" i="7"/>
  <c r="AN10" i="7" s="1"/>
  <c r="AK10" i="7"/>
  <c r="AJ10" i="7"/>
  <c r="AM9" i="7"/>
  <c r="AM15" i="7" s="1"/>
  <c r="AK9" i="7"/>
  <c r="AJ9" i="7"/>
  <c r="AK6" i="7"/>
  <c r="AG6" i="7"/>
  <c r="AJ26" i="7" s="1"/>
  <c r="AO4" i="7"/>
  <c r="AM4" i="7"/>
  <c r="AJ4" i="7"/>
  <c r="AL4" i="7" s="1"/>
  <c r="T4" i="7"/>
  <c r="X22" i="7"/>
  <c r="U10" i="7"/>
  <c r="U11" i="7"/>
  <c r="U12" i="7"/>
  <c r="U13" i="7"/>
  <c r="U9" i="7"/>
  <c r="W9" i="7"/>
  <c r="W13" i="7"/>
  <c r="X13" i="7" s="1"/>
  <c r="T13" i="7"/>
  <c r="O15" i="6"/>
  <c r="W22" i="7"/>
  <c r="V23" i="7"/>
  <c r="V24" i="7" s="1"/>
  <c r="V25" i="7" s="1"/>
  <c r="V26" i="7" s="1"/>
  <c r="V27" i="7" s="1"/>
  <c r="V28" i="7" s="1"/>
  <c r="V29" i="7" s="1"/>
  <c r="V22" i="7"/>
  <c r="Q22" i="7"/>
  <c r="R22" i="7" s="1"/>
  <c r="R21" i="7"/>
  <c r="W21" i="7" s="1"/>
  <c r="V4" i="7"/>
  <c r="W12" i="7"/>
  <c r="X12" i="7" s="1"/>
  <c r="W11" i="7"/>
  <c r="X11" i="7" s="1"/>
  <c r="W10" i="7"/>
  <c r="X10" i="7" s="1"/>
  <c r="X9" i="7"/>
  <c r="T10" i="7"/>
  <c r="T11" i="7"/>
  <c r="T12" i="7"/>
  <c r="T9" i="7"/>
  <c r="S22" i="7"/>
  <c r="S23" i="7"/>
  <c r="S24" i="7"/>
  <c r="S25" i="7"/>
  <c r="S26" i="7"/>
  <c r="S27" i="7"/>
  <c r="S28" i="7"/>
  <c r="S29" i="7"/>
  <c r="S21" i="7"/>
  <c r="AZ6" i="7" l="1"/>
  <c r="BE21" i="7"/>
  <c r="AZ22" i="7"/>
  <c r="BA22" i="7" s="1"/>
  <c r="BD4" i="7"/>
  <c r="BB6" i="7"/>
  <c r="BC15" i="7"/>
  <c r="BD9" i="7"/>
  <c r="AW25" i="7"/>
  <c r="AX24" i="7"/>
  <c r="BE22" i="7"/>
  <c r="AZ28" i="7"/>
  <c r="AZ23" i="7"/>
  <c r="BA23" i="7" s="1"/>
  <c r="AZ26" i="7"/>
  <c r="AZ21" i="7"/>
  <c r="BA21" i="7" s="1"/>
  <c r="AZ29" i="7"/>
  <c r="AZ24" i="7"/>
  <c r="AZ27" i="7"/>
  <c r="BC23" i="7"/>
  <c r="BD23" i="7" s="1"/>
  <c r="BE23" i="7" s="1"/>
  <c r="F5" i="8"/>
  <c r="D10" i="8"/>
  <c r="D19" i="8" s="1"/>
  <c r="D22" i="8" s="1"/>
  <c r="D27" i="8" s="1"/>
  <c r="AJ6" i="7"/>
  <c r="AO21" i="7"/>
  <c r="AH23" i="7"/>
  <c r="AG24" i="7"/>
  <c r="AN4" i="7"/>
  <c r="AL6" i="7"/>
  <c r="AJ23" i="7"/>
  <c r="AJ28" i="7"/>
  <c r="AN9" i="7"/>
  <c r="AN15" i="7" s="1"/>
  <c r="AQ21" i="7" s="1"/>
  <c r="AJ25" i="7"/>
  <c r="AJ22" i="7"/>
  <c r="AK22" i="7" s="1"/>
  <c r="AJ27" i="7"/>
  <c r="AJ24" i="7"/>
  <c r="AJ29" i="7"/>
  <c r="AJ21" i="7"/>
  <c r="AK21" i="7" s="1"/>
  <c r="Q23" i="7"/>
  <c r="Q24" i="7" s="1"/>
  <c r="Q25" i="7" s="1"/>
  <c r="Q26" i="7" s="1"/>
  <c r="Q27" i="7" s="1"/>
  <c r="Q28" i="7" s="1"/>
  <c r="Q29" i="7" s="1"/>
  <c r="R24" i="7"/>
  <c r="W15" i="7"/>
  <c r="X15" i="7"/>
  <c r="U6" i="7"/>
  <c r="W4" i="7"/>
  <c r="X4" i="7" s="1"/>
  <c r="Y4" i="7"/>
  <c r="Q6" i="7"/>
  <c r="BC24" i="7" l="1"/>
  <c r="BD24" i="7" s="1"/>
  <c r="BE24" i="7" s="1"/>
  <c r="BA24" i="7"/>
  <c r="AX25" i="7"/>
  <c r="AW26" i="7"/>
  <c r="BD15" i="7"/>
  <c r="BG4" i="7"/>
  <c r="BG6" i="7" s="1"/>
  <c r="BD6" i="7"/>
  <c r="BH9" i="7" s="1"/>
  <c r="E27" i="8"/>
  <c r="F10" i="8"/>
  <c r="AM23" i="7"/>
  <c r="AN23" i="7" s="1"/>
  <c r="AO23" i="7" s="1"/>
  <c r="AQ23" i="7" s="1"/>
  <c r="AK23" i="7"/>
  <c r="AQ22" i="7"/>
  <c r="AG25" i="7"/>
  <c r="AH24" i="7"/>
  <c r="AQ4" i="7"/>
  <c r="AQ6" i="7" s="1"/>
  <c r="AN6" i="7"/>
  <c r="R23" i="7"/>
  <c r="W23" i="7" s="1"/>
  <c r="X23" i="7" s="1"/>
  <c r="R25" i="7"/>
  <c r="T29" i="7"/>
  <c r="T28" i="7"/>
  <c r="T27" i="7"/>
  <c r="T25" i="7"/>
  <c r="T26" i="7"/>
  <c r="T21" i="7"/>
  <c r="U21" i="7" s="1"/>
  <c r="T23" i="7"/>
  <c r="U23" i="7" s="1"/>
  <c r="T24" i="7"/>
  <c r="U24" i="7" s="1"/>
  <c r="T22" i="7"/>
  <c r="U22" i="7" s="1"/>
  <c r="X19" i="7"/>
  <c r="W24" i="7"/>
  <c r="X24" i="7" s="1"/>
  <c r="V15" i="7"/>
  <c r="T6" i="7"/>
  <c r="Y24" i="7" l="1"/>
  <c r="Y22" i="7"/>
  <c r="AA22" i="7" s="1"/>
  <c r="Y21" i="7"/>
  <c r="AA21" i="7" s="1"/>
  <c r="BF22" i="7"/>
  <c r="BF23" i="7"/>
  <c r="BF21" i="7"/>
  <c r="BF24" i="7"/>
  <c r="BH10" i="7"/>
  <c r="BH12" i="7"/>
  <c r="BH11" i="7"/>
  <c r="BH13" i="7"/>
  <c r="BB16" i="7"/>
  <c r="BG7" i="7"/>
  <c r="BC16" i="7"/>
  <c r="BD16" i="7" s="1"/>
  <c r="BG23" i="7"/>
  <c r="BH15" i="7"/>
  <c r="BG21" i="7"/>
  <c r="BG24" i="7"/>
  <c r="BG22" i="7"/>
  <c r="AW27" i="7"/>
  <c r="AX26" i="7"/>
  <c r="BC25" i="7"/>
  <c r="BD25" i="7" s="1"/>
  <c r="BE25" i="7" s="1"/>
  <c r="BG25" i="7" s="1"/>
  <c r="BA25" i="7"/>
  <c r="BF25" i="7" s="1"/>
  <c r="F27" i="8"/>
  <c r="F30" i="8" s="1"/>
  <c r="I30" i="8" s="1"/>
  <c r="E10" i="8"/>
  <c r="E19" i="8" s="1"/>
  <c r="F19" i="8" s="1"/>
  <c r="I10" i="8"/>
  <c r="K14" i="8" s="1"/>
  <c r="J14" i="8"/>
  <c r="AR10" i="7"/>
  <c r="AR13" i="7"/>
  <c r="AR11" i="7"/>
  <c r="AR12" i="7"/>
  <c r="AR9" i="7"/>
  <c r="AP23" i="7"/>
  <c r="AR23" i="7" s="1"/>
  <c r="AS23" i="7" s="1"/>
  <c r="AP21" i="7"/>
  <c r="AR21" i="7" s="1"/>
  <c r="AS21" i="7" s="1"/>
  <c r="AP22" i="7"/>
  <c r="AR22" i="7" s="1"/>
  <c r="AS22" i="7" s="1"/>
  <c r="AQ7" i="7"/>
  <c r="AL16" i="7"/>
  <c r="AM16" i="7"/>
  <c r="AN16" i="7" s="1"/>
  <c r="AR15" i="7"/>
  <c r="AK24" i="7"/>
  <c r="AP24" i="7" s="1"/>
  <c r="AM24" i="7"/>
  <c r="AN24" i="7" s="1"/>
  <c r="AO24" i="7" s="1"/>
  <c r="AQ24" i="7" s="1"/>
  <c r="AG26" i="7"/>
  <c r="AH25" i="7"/>
  <c r="Y23" i="7"/>
  <c r="AA23" i="7" s="1"/>
  <c r="R26" i="7"/>
  <c r="U26" i="7" s="1"/>
  <c r="U25" i="7"/>
  <c r="AA24" i="7"/>
  <c r="W25" i="7"/>
  <c r="X25" i="7" s="1"/>
  <c r="Y25" i="7" s="1"/>
  <c r="S19" i="6"/>
  <c r="I19" i="6"/>
  <c r="I25" i="6"/>
  <c r="I20" i="6"/>
  <c r="S8" i="6"/>
  <c r="R31" i="6"/>
  <c r="R30" i="6"/>
  <c r="R19" i="6"/>
  <c r="M19" i="6"/>
  <c r="R12" i="6"/>
  <c r="R24" i="6"/>
  <c r="R32" i="6" s="1"/>
  <c r="R14" i="6"/>
  <c r="R13" i="6"/>
  <c r="M8" i="6"/>
  <c r="O6" i="6"/>
  <c r="O8" i="6" s="1"/>
  <c r="M16" i="5"/>
  <c r="M19" i="5" s="1"/>
  <c r="N16" i="5"/>
  <c r="R11" i="5"/>
  <c r="M7" i="5"/>
  <c r="O5" i="5"/>
  <c r="O7" i="5" s="1"/>
  <c r="N7" i="5" s="1"/>
  <c r="BH24" i="7" l="1"/>
  <c r="BI24" i="7" s="1"/>
  <c r="BH22" i="7"/>
  <c r="BI22" i="7" s="1"/>
  <c r="BH21" i="7"/>
  <c r="BI21" i="7" s="1"/>
  <c r="BH25" i="7"/>
  <c r="BI25" i="7" s="1"/>
  <c r="BA26" i="7"/>
  <c r="BF26" i="7" s="1"/>
  <c r="BC26" i="7"/>
  <c r="BD26" i="7" s="1"/>
  <c r="BE26" i="7" s="1"/>
  <c r="BG26" i="7" s="1"/>
  <c r="BI15" i="7"/>
  <c r="AW28" i="7"/>
  <c r="AX27" i="7"/>
  <c r="BH23" i="7"/>
  <c r="BI23" i="7" s="1"/>
  <c r="I19" i="8"/>
  <c r="I21" i="8" s="1"/>
  <c r="I22" i="8" s="1"/>
  <c r="I31" i="8" s="1"/>
  <c r="I32" i="8" s="1"/>
  <c r="F22" i="8"/>
  <c r="E22" i="8" s="1"/>
  <c r="I16" i="8"/>
  <c r="K16" i="8" s="1"/>
  <c r="AS15" i="7"/>
  <c r="AR24" i="7"/>
  <c r="AS24" i="7" s="1"/>
  <c r="AM25" i="7"/>
  <c r="AN25" i="7" s="1"/>
  <c r="AO25" i="7" s="1"/>
  <c r="AQ25" i="7" s="1"/>
  <c r="AK25" i="7"/>
  <c r="AP25" i="7" s="1"/>
  <c r="AH26" i="7"/>
  <c r="AG27" i="7"/>
  <c r="R27" i="7"/>
  <c r="W26" i="7"/>
  <c r="AA25" i="7"/>
  <c r="V6" i="7"/>
  <c r="X6" i="7"/>
  <c r="Z21" i="7" s="1"/>
  <c r="R15" i="6"/>
  <c r="R6" i="6"/>
  <c r="R8" i="6" s="1"/>
  <c r="O16" i="5"/>
  <c r="R5" i="5"/>
  <c r="R7" i="5" s="1"/>
  <c r="F18" i="7"/>
  <c r="F23" i="7" s="1"/>
  <c r="J32" i="8" l="1"/>
  <c r="AX28" i="7"/>
  <c r="AW29" i="7"/>
  <c r="AX29" i="7" s="1"/>
  <c r="BC27" i="7"/>
  <c r="BD27" i="7" s="1"/>
  <c r="BE27" i="7" s="1"/>
  <c r="BG27" i="7" s="1"/>
  <c r="BA27" i="7"/>
  <c r="BF27" i="7" s="1"/>
  <c r="BH26" i="7"/>
  <c r="BI26" i="7" s="1"/>
  <c r="J22" i="8"/>
  <c r="J31" i="8"/>
  <c r="I23" i="8"/>
  <c r="AM26" i="7"/>
  <c r="AN26" i="7" s="1"/>
  <c r="AO26" i="7" s="1"/>
  <c r="AQ26" i="7" s="1"/>
  <c r="AK26" i="7"/>
  <c r="AP26" i="7" s="1"/>
  <c r="AG28" i="7"/>
  <c r="AH27" i="7"/>
  <c r="AR25" i="7"/>
  <c r="AS25" i="7" s="1"/>
  <c r="X26" i="7"/>
  <c r="Y26" i="7" s="1"/>
  <c r="AA26" i="7" s="1"/>
  <c r="Z22" i="7"/>
  <c r="AB22" i="7" s="1"/>
  <c r="AC22" i="7" s="1"/>
  <c r="Z24" i="7"/>
  <c r="AB24" i="7" s="1"/>
  <c r="AC24" i="7" s="1"/>
  <c r="Z25" i="7"/>
  <c r="Z26" i="7"/>
  <c r="Z23" i="7"/>
  <c r="AB23" i="7" s="1"/>
  <c r="AC23" i="7" s="1"/>
  <c r="R28" i="7"/>
  <c r="R29" i="7"/>
  <c r="W27" i="7"/>
  <c r="U27" i="7"/>
  <c r="Z27" i="7" s="1"/>
  <c r="AB15" i="7"/>
  <c r="AA4" i="7"/>
  <c r="AA6" i="7" s="1"/>
  <c r="R16" i="6"/>
  <c r="R20" i="6"/>
  <c r="S15" i="6"/>
  <c r="R33" i="6"/>
  <c r="S33" i="6" s="1"/>
  <c r="O19" i="5"/>
  <c r="N19" i="5" s="1"/>
  <c r="R16" i="5"/>
  <c r="R18" i="5" s="1"/>
  <c r="R19" i="5" s="1"/>
  <c r="S19" i="5" s="1"/>
  <c r="P7" i="5"/>
  <c r="S7" i="5"/>
  <c r="R13" i="5"/>
  <c r="F5" i="7"/>
  <c r="F4" i="7"/>
  <c r="BC28" i="7" l="1"/>
  <c r="BD28" i="7" s="1"/>
  <c r="BE28" i="7" s="1"/>
  <c r="BG28" i="7" s="1"/>
  <c r="BA28" i="7"/>
  <c r="BF28" i="7" s="1"/>
  <c r="BH27" i="7"/>
  <c r="BI27" i="7" s="1"/>
  <c r="BC29" i="7"/>
  <c r="BD29" i="7" s="1"/>
  <c r="BE29" i="7" s="1"/>
  <c r="BG29" i="7" s="1"/>
  <c r="BA29" i="7"/>
  <c r="BF29" i="7" s="1"/>
  <c r="AM27" i="7"/>
  <c r="AN27" i="7" s="1"/>
  <c r="AO27" i="7" s="1"/>
  <c r="AQ27" i="7" s="1"/>
  <c r="AK27" i="7"/>
  <c r="AP27" i="7" s="1"/>
  <c r="AH28" i="7"/>
  <c r="AG29" i="7"/>
  <c r="AH29" i="7" s="1"/>
  <c r="AR26" i="7"/>
  <c r="AS26" i="7" s="1"/>
  <c r="X27" i="7"/>
  <c r="Y27" i="7" s="1"/>
  <c r="AA27" i="7" s="1"/>
  <c r="AB27" i="7" s="1"/>
  <c r="AC27" i="7" s="1"/>
  <c r="W29" i="7"/>
  <c r="U29" i="7"/>
  <c r="Z29" i="7" s="1"/>
  <c r="W28" i="7"/>
  <c r="U28" i="7"/>
  <c r="AB25" i="7"/>
  <c r="AC25" i="7" s="1"/>
  <c r="AB26" i="7"/>
  <c r="AC26" i="7" s="1"/>
  <c r="W16" i="7"/>
  <c r="X16" i="7" s="1"/>
  <c r="AA7" i="7"/>
  <c r="V16" i="7"/>
  <c r="R21" i="6"/>
  <c r="S20" i="6"/>
  <c r="R25" i="6"/>
  <c r="S25" i="6" s="1"/>
  <c r="R20" i="5"/>
  <c r="C15" i="7"/>
  <c r="I15" i="7" s="1"/>
  <c r="C18" i="7"/>
  <c r="G17" i="7"/>
  <c r="G16" i="7"/>
  <c r="F41" i="7"/>
  <c r="D38" i="7"/>
  <c r="D39" i="7" s="1"/>
  <c r="D40" i="7" s="1"/>
  <c r="BH28" i="7" l="1"/>
  <c r="BI28" i="7" s="1"/>
  <c r="BH29" i="7"/>
  <c r="BI29" i="7" s="1"/>
  <c r="AM28" i="7"/>
  <c r="AN28" i="7" s="1"/>
  <c r="AO28" i="7" s="1"/>
  <c r="AQ28" i="7" s="1"/>
  <c r="AK28" i="7"/>
  <c r="AP28" i="7" s="1"/>
  <c r="AK29" i="7"/>
  <c r="AP29" i="7" s="1"/>
  <c r="AM29" i="7"/>
  <c r="AN29" i="7" s="1"/>
  <c r="AO29" i="7" s="1"/>
  <c r="AQ29" i="7" s="1"/>
  <c r="AR27" i="7"/>
  <c r="AS27" i="7" s="1"/>
  <c r="X29" i="7"/>
  <c r="Y29" i="7" s="1"/>
  <c r="AA29" i="7" s="1"/>
  <c r="AB29" i="7" s="1"/>
  <c r="AC29" i="7" s="1"/>
  <c r="X28" i="7"/>
  <c r="Y28" i="7" s="1"/>
  <c r="AA28" i="7" s="1"/>
  <c r="Z28" i="7"/>
  <c r="G18" i="7"/>
  <c r="D41" i="7"/>
  <c r="G40" i="7"/>
  <c r="F42" i="7"/>
  <c r="G26" i="7"/>
  <c r="G29" i="7"/>
  <c r="B15" i="7"/>
  <c r="B20" i="7"/>
  <c r="B25" i="7"/>
  <c r="C20" i="7"/>
  <c r="I20" i="7" s="1"/>
  <c r="C29" i="7"/>
  <c r="C25" i="7"/>
  <c r="C6" i="7"/>
  <c r="C11" i="7" s="1"/>
  <c r="C31" i="7" s="1"/>
  <c r="G21" i="7"/>
  <c r="F26" i="7"/>
  <c r="F21" i="7"/>
  <c r="F17" i="7"/>
  <c r="F16" i="7"/>
  <c r="H14" i="7"/>
  <c r="AR29" i="7" l="1"/>
  <c r="AS29" i="7" s="1"/>
  <c r="AR28" i="7"/>
  <c r="AS28" i="7" s="1"/>
  <c r="AB28" i="7"/>
  <c r="AC28" i="7" s="1"/>
  <c r="H21" i="7"/>
  <c r="I21" i="7" s="1"/>
  <c r="I25" i="7"/>
  <c r="C27" i="7"/>
  <c r="C22" i="7"/>
  <c r="C23" i="7" s="1"/>
  <c r="F43" i="7"/>
  <c r="D42" i="7"/>
  <c r="G41" i="7"/>
  <c r="H26" i="7"/>
  <c r="I26" i="7" s="1"/>
  <c r="D16" i="5"/>
  <c r="C19" i="5"/>
  <c r="C24" i="5" s="1"/>
  <c r="I22" i="7" l="1"/>
  <c r="D43" i="7"/>
  <c r="G43" i="7" s="1"/>
  <c r="G42" i="7"/>
  <c r="I27" i="7"/>
  <c r="H27" i="7"/>
  <c r="C7" i="5"/>
  <c r="E5" i="5" l="1"/>
  <c r="H5" i="5" l="1"/>
  <c r="H7" i="5" s="1"/>
  <c r="E7" i="5"/>
  <c r="D7" i="5" s="1"/>
  <c r="H17" i="5"/>
  <c r="E17" i="5"/>
  <c r="I7" i="5" l="1"/>
  <c r="F7" i="5"/>
  <c r="F10" i="7" l="1"/>
  <c r="F29" i="7" s="1"/>
  <c r="I29" i="7" s="1"/>
  <c r="K10" i="7"/>
  <c r="K5" i="7"/>
  <c r="K8" i="7"/>
  <c r="K4" i="7"/>
  <c r="I10" i="7"/>
  <c r="I8" i="7"/>
  <c r="I5" i="7"/>
  <c r="I4" i="7"/>
  <c r="F31" i="7" l="1"/>
  <c r="F8" i="7" l="1"/>
  <c r="F6" i="7" l="1"/>
  <c r="F11" i="7" s="1"/>
  <c r="C8" i="6"/>
  <c r="G6" i="7"/>
  <c r="B29" i="7" l="1"/>
  <c r="H10" i="7"/>
  <c r="H29" i="7" s="1"/>
  <c r="H8" i="7"/>
  <c r="H5" i="7"/>
  <c r="J5" i="7" s="1"/>
  <c r="H17" i="7" l="1"/>
  <c r="H4" i="7"/>
  <c r="J8" i="7"/>
  <c r="J10" i="7"/>
  <c r="H13" i="6"/>
  <c r="H14" i="6"/>
  <c r="J26" i="7" l="1"/>
  <c r="J27" i="7" s="1"/>
  <c r="K27" i="7" s="1"/>
  <c r="J29" i="7"/>
  <c r="H16" i="7"/>
  <c r="J4" i="7"/>
  <c r="I17" i="7"/>
  <c r="K29" i="7"/>
  <c r="M8" i="7"/>
  <c r="J17" i="7"/>
  <c r="M5" i="7"/>
  <c r="H6" i="7"/>
  <c r="H11" i="7" s="1"/>
  <c r="M10" i="7"/>
  <c r="H24" i="6"/>
  <c r="C19" i="6"/>
  <c r="H19" i="6" s="1"/>
  <c r="H31" i="6" s="1"/>
  <c r="H12" i="6"/>
  <c r="H15" i="6" s="1"/>
  <c r="H20" i="6" s="1"/>
  <c r="E6" i="6"/>
  <c r="E8" i="6" s="1"/>
  <c r="H29" i="5"/>
  <c r="H16" i="5"/>
  <c r="H18" i="5" s="1"/>
  <c r="H11" i="5"/>
  <c r="H18" i="7" l="1"/>
  <c r="H23" i="7" s="1"/>
  <c r="H31" i="7" s="1"/>
  <c r="G31" i="7" s="1"/>
  <c r="I16" i="7"/>
  <c r="I18" i="7" s="1"/>
  <c r="I23" i="7" s="1"/>
  <c r="I31" i="7" s="1"/>
  <c r="H32" i="6"/>
  <c r="H25" i="6"/>
  <c r="J15" i="7"/>
  <c r="J18" i="7" s="1"/>
  <c r="G11" i="7"/>
  <c r="H19" i="5"/>
  <c r="E16" i="5"/>
  <c r="E19" i="5" s="1"/>
  <c r="D19" i="5" s="1"/>
  <c r="E23" i="5"/>
  <c r="H23" i="5" s="1"/>
  <c r="H30" i="6"/>
  <c r="I15" i="6"/>
  <c r="J6" i="7"/>
  <c r="J11" i="7" s="1"/>
  <c r="J31" i="7" s="1"/>
  <c r="M4" i="7"/>
  <c r="H6" i="6"/>
  <c r="H8" i="6" s="1"/>
  <c r="H21" i="6" s="1"/>
  <c r="K31" i="7" l="1"/>
  <c r="K18" i="7"/>
  <c r="J22" i="7"/>
  <c r="K22" i="7" s="1"/>
  <c r="J23" i="7"/>
  <c r="M6" i="7"/>
  <c r="H33" i="6"/>
  <c r="I33" i="6" s="1"/>
  <c r="H24" i="5"/>
  <c r="H25" i="5" s="1"/>
  <c r="H20" i="5"/>
  <c r="I19" i="5"/>
  <c r="E24" i="5"/>
  <c r="D24" i="5" s="1"/>
  <c r="I8" i="6"/>
  <c r="K23" i="7" l="1"/>
  <c r="G23" i="7"/>
  <c r="M11" i="7"/>
  <c r="H32" i="7" s="1"/>
  <c r="M12" i="7" l="1"/>
  <c r="I32" i="7"/>
  <c r="J32" i="7" s="1"/>
  <c r="H13" i="5"/>
  <c r="I24" i="5" l="1"/>
  <c r="AB21" i="7" l="1"/>
  <c r="AC21" i="7" s="1"/>
</calcChain>
</file>

<file path=xl/comments1.xml><?xml version="1.0" encoding="utf-8"?>
<comments xmlns="http://schemas.openxmlformats.org/spreadsheetml/2006/main">
  <authors>
    <author>David Parker</author>
    <author>Dparker</author>
  </authors>
  <commentList>
    <comment ref="C11" authorId="0" shapeId="0">
      <text>
        <r>
          <rPr>
            <b/>
            <sz val="9"/>
            <color indexed="81"/>
            <rFont val="Tahoma"/>
            <family val="2"/>
          </rPr>
          <t>David Parker:</t>
        </r>
        <r>
          <rPr>
            <sz val="9"/>
            <color indexed="81"/>
            <rFont val="Tahoma"/>
            <family val="2"/>
          </rPr>
          <t xml:space="preserve">
This salesperson needed a higher salary so we lowered the commission from 1.75% to 1.5%
</t>
        </r>
      </text>
    </comment>
    <comment ref="M11" authorId="0" shapeId="0">
      <text>
        <r>
          <rPr>
            <b/>
            <sz val="9"/>
            <color indexed="81"/>
            <rFont val="Tahoma"/>
            <family val="2"/>
          </rPr>
          <t>David Parker:</t>
        </r>
        <r>
          <rPr>
            <sz val="9"/>
            <color indexed="81"/>
            <rFont val="Tahoma"/>
            <family val="2"/>
          </rPr>
          <t xml:space="preserve">
Plug in the amount of monthly base salary desired/needed.
</t>
        </r>
      </text>
    </comment>
    <comment ref="P16" authorId="1" shapeId="0">
      <text>
        <r>
          <rPr>
            <b/>
            <sz val="9"/>
            <color indexed="81"/>
            <rFont val="Tahoma"/>
            <charset val="1"/>
          </rPr>
          <t>Dparker:</t>
        </r>
        <r>
          <rPr>
            <sz val="9"/>
            <color indexed="81"/>
            <rFont val="Tahoma"/>
            <charset val="1"/>
          </rPr>
          <t xml:space="preserve">
Adjust this % to accomplish the target compensation on line 9.</t>
        </r>
      </text>
    </comment>
    <comment ref="F23" authorId="0" shapeId="0">
      <text>
        <r>
          <rPr>
            <b/>
            <sz val="9"/>
            <color indexed="81"/>
            <rFont val="Tahoma"/>
            <family val="2"/>
          </rPr>
          <t>David Parker:</t>
        </r>
        <r>
          <rPr>
            <sz val="9"/>
            <color indexed="81"/>
            <rFont val="Tahoma"/>
            <family val="2"/>
          </rPr>
          <t xml:space="preserve">
Incentive Rate of 30%:
20% + 10% = 30%
See Explanation Below</t>
        </r>
      </text>
    </comment>
  </commentList>
</comments>
</file>

<file path=xl/comments2.xml><?xml version="1.0" encoding="utf-8"?>
<comments xmlns="http://schemas.openxmlformats.org/spreadsheetml/2006/main">
  <authors>
    <author>David Parker</author>
    <author>Dparker</author>
  </authors>
  <commentList>
    <comment ref="D14" authorId="0" shapeId="0">
      <text>
        <r>
          <rPr>
            <b/>
            <sz val="9"/>
            <color indexed="81"/>
            <rFont val="Tahoma"/>
            <family val="2"/>
          </rPr>
          <t>David Parker:</t>
        </r>
        <r>
          <rPr>
            <sz val="9"/>
            <color indexed="81"/>
            <rFont val="Tahoma"/>
            <family val="2"/>
          </rPr>
          <t xml:space="preserve">
Plug in the amount of monthly base salary desired/needed.
</t>
        </r>
      </text>
    </comment>
    <comment ref="G19" authorId="1" shapeId="0">
      <text>
        <r>
          <rPr>
            <b/>
            <sz val="9"/>
            <color indexed="81"/>
            <rFont val="Tahoma"/>
            <charset val="1"/>
          </rPr>
          <t>Dparker:</t>
        </r>
        <r>
          <rPr>
            <sz val="9"/>
            <color indexed="81"/>
            <rFont val="Tahoma"/>
            <charset val="1"/>
          </rPr>
          <t xml:space="preserve">
Adjust this % to accomplish the target compensation on line 9.</t>
        </r>
      </text>
    </comment>
  </commentList>
</comments>
</file>

<file path=xl/sharedStrings.xml><?xml version="1.0" encoding="utf-8"?>
<sst xmlns="http://schemas.openxmlformats.org/spreadsheetml/2006/main" count="490" uniqueCount="191">
  <si>
    <t>Function</t>
  </si>
  <si>
    <t>Sales</t>
  </si>
  <si>
    <t>GM %</t>
  </si>
  <si>
    <t>GM $</t>
  </si>
  <si>
    <t>AER %</t>
  </si>
  <si>
    <t>Total Compensation</t>
  </si>
  <si>
    <t>=</t>
  </si>
  <si>
    <t>Base Salary</t>
  </si>
  <si>
    <t>Total Personal Sales Production</t>
  </si>
  <si>
    <t>Compensation Summary:</t>
  </si>
  <si>
    <t>Total Projected Compensation</t>
  </si>
  <si>
    <t>The PLAN:</t>
  </si>
  <si>
    <t>AER Range:</t>
  </si>
  <si>
    <t>x</t>
  </si>
  <si>
    <t>Total Target Compensation</t>
  </si>
  <si>
    <t>What We Can Afford to Pay:</t>
  </si>
  <si>
    <t>/ wk  x</t>
  </si>
  <si>
    <t>Min. Wage Salary</t>
  </si>
  <si>
    <t>Incentive @ Min. Price</t>
  </si>
  <si>
    <t>1.5 - 2.0</t>
  </si>
  <si>
    <t>Min. Price</t>
  </si>
  <si>
    <t>Amount &gt; Min. Price</t>
  </si>
  <si>
    <t>Disincentive &lt; Min. Price</t>
  </si>
  <si>
    <t>.75 - 1.0</t>
  </si>
  <si>
    <t>Year End Bonus - Paid 12/1</t>
  </si>
  <si>
    <t>Pay Plan Parameters:</t>
  </si>
  <si>
    <t>Parts Dept. Sales</t>
  </si>
  <si>
    <t>28 - 32%</t>
  </si>
  <si>
    <t>Total Parts/Access Compensation</t>
  </si>
  <si>
    <t>Parts/Access. Dept. Sales</t>
  </si>
  <si>
    <t>Base - P/A 2</t>
  </si>
  <si>
    <t>Base - P/A 3</t>
  </si>
  <si>
    <t>Base Salary - Parts/Access Mgr.</t>
  </si>
  <si>
    <t>Monthly Salary</t>
  </si>
  <si>
    <t># Months</t>
  </si>
  <si>
    <t>Total</t>
  </si>
  <si>
    <t>Always pay at least 1% of P/A sales as an incentive to get the items on the ticket</t>
  </si>
  <si>
    <t/>
  </si>
  <si>
    <t>Additional Compensation - Warranty Writing = 3 - 5% of Part &amp; Labor on COLLECTED Warranty Claims</t>
  </si>
  <si>
    <t>Incentive:</t>
  </si>
  <si>
    <t>Total Base Salary</t>
  </si>
  <si>
    <t>= Paid Hrs</t>
  </si>
  <si>
    <t>x Labor Rate</t>
  </si>
  <si>
    <t>= $ Billed</t>
  </si>
  <si>
    <t>Afford to Pay</t>
  </si>
  <si>
    <t>= Billed Hrs</t>
  </si>
  <si>
    <t>Hrs/Week</t>
  </si>
  <si>
    <t>Base Rate/Hr</t>
  </si>
  <si>
    <t>Apprentice's Billed Hours:</t>
  </si>
  <si>
    <t>Total Technician Compensation</t>
  </si>
  <si>
    <t>$ &amp; % of Target Compensation</t>
  </si>
  <si>
    <t>(Hrs Paid / Hrs Billed)</t>
  </si>
  <si>
    <t>Parts Sales</t>
  </si>
  <si>
    <t>Incentive Rate</t>
  </si>
  <si>
    <t>Jr. Tech</t>
  </si>
  <si>
    <t>Advanced Jr. Tech</t>
  </si>
  <si>
    <t>Base Tech</t>
  </si>
  <si>
    <t>Advanced Skills</t>
  </si>
  <si>
    <t>Master Skills</t>
  </si>
  <si>
    <t>Hourly Wage</t>
  </si>
  <si>
    <t>Commission Rate</t>
  </si>
  <si>
    <t>13 - 15%</t>
  </si>
  <si>
    <t xml:space="preserve">Personal Sales $ </t>
  </si>
  <si>
    <t>Above Minimum Incentive (Pd. Monthly)</t>
  </si>
  <si>
    <t>Total Above Minimum Incentive =</t>
  </si>
  <si>
    <t>Unit Sales</t>
  </si>
  <si>
    <t>Base Salary - Sales Person 1</t>
  </si>
  <si>
    <t>Remaining Amount for Incentive  (Line 2-3)</t>
  </si>
  <si>
    <t>% &gt; MP</t>
  </si>
  <si>
    <t>GM $ &gt; MP</t>
  </si>
  <si>
    <t>Overage Incentive</t>
  </si>
  <si>
    <t>Sales $</t>
  </si>
  <si>
    <t>Salary</t>
  </si>
  <si>
    <t>Months</t>
  </si>
  <si>
    <t>P&amp;A Incentives</t>
  </si>
  <si>
    <t>Warranty Writing Incentive</t>
  </si>
  <si>
    <t>Parts Person Pay Plan Calculator</t>
  </si>
  <si>
    <t>Technician Pay Plan Calculator</t>
  </si>
  <si>
    <t>Compensation B4 Overage Incentive</t>
  </si>
  <si>
    <t>$ Billed</t>
  </si>
  <si>
    <t>Paid Hrs</t>
  </si>
  <si>
    <t>Billable Efficiency</t>
  </si>
  <si>
    <t>Billed Hour Incentive</t>
  </si>
  <si>
    <t>Annual Expense Ratio = AER %</t>
  </si>
  <si>
    <t>Range          (28% - 32%)</t>
  </si>
  <si>
    <t>x Billed Efficiency</t>
  </si>
  <si>
    <t>#</t>
  </si>
  <si>
    <t>Tech Pay</t>
  </si>
  <si>
    <t>(Red = Overage)</t>
  </si>
  <si>
    <t>Target &gt;</t>
  </si>
  <si>
    <t># Techs</t>
  </si>
  <si>
    <t>Type 1 Techs - Compensation</t>
  </si>
  <si>
    <t>Type 1 Team - Compensation</t>
  </si>
  <si>
    <t>Type 1 Apprentice</t>
  </si>
  <si>
    <t>Type 1 Apprentice Compensation</t>
  </si>
  <si>
    <t>Type 2 Techs - Total Compensation</t>
  </si>
  <si>
    <t>Type 3 Techs - Seasonal (April - August)</t>
  </si>
  <si>
    <t xml:space="preserve">Type 2 Techs </t>
  </si>
  <si>
    <t>Type 1 Tech</t>
  </si>
  <si>
    <t>Typically you will need one full time person to properly handle 350 - 400k in P/A sales</t>
  </si>
  <si>
    <t xml:space="preserve"> Sales $ &gt; MMP</t>
  </si>
  <si>
    <t>Sales Person (Minimum Market Price (MMP)) Pay Plan Calculator</t>
  </si>
  <si>
    <t>Pay Plan Parameters:  For a more detailed version of this concept obtain a copy of Spader's Costline Pay Plan</t>
  </si>
  <si>
    <t>Annual Compensation</t>
  </si>
  <si>
    <t>Total MMP Incentives</t>
  </si>
  <si>
    <t>Amount &lt; Min. Market Price (MMP)</t>
  </si>
  <si>
    <t>Amount &gt; Min. Market Price (MMP)</t>
  </si>
  <si>
    <t>Novice Tech</t>
  </si>
  <si>
    <t>Weeks/ Year</t>
  </si>
  <si>
    <r>
      <rPr>
        <b/>
        <sz val="11"/>
        <color rgb="FFFF0000"/>
        <rFont val="Arial"/>
        <family val="2"/>
      </rPr>
      <t>Over</t>
    </r>
    <r>
      <rPr>
        <sz val="11"/>
        <rFont val="Arial"/>
        <family val="2"/>
      </rPr>
      <t xml:space="preserve"> / Under Target $</t>
    </r>
  </si>
  <si>
    <t>+</t>
  </si>
  <si>
    <t>Billed Hourly Incentive</t>
  </si>
  <si>
    <t>Line:</t>
  </si>
  <si>
    <t>Intermediate Skills</t>
  </si>
  <si>
    <t>Progressive Base Pay Plan</t>
  </si>
  <si>
    <t>Incentive for 65%</t>
  </si>
  <si>
    <t>3% - 5%</t>
  </si>
  <si>
    <t>Unit Sales Volume</t>
  </si>
  <si>
    <t xml:space="preserve">Base Salary </t>
  </si>
  <si>
    <t>Incentive</t>
  </si>
  <si>
    <t>Minimum Market Price = MMP</t>
  </si>
  <si>
    <t>Total Incentive $</t>
  </si>
  <si>
    <t xml:space="preserve">Total Compensation </t>
  </si>
  <si>
    <t>Parts Manager Pay Plan Calculator</t>
  </si>
  <si>
    <t>Sales Manager Pay Plan Calculator</t>
  </si>
  <si>
    <t>Manager Compensation Summary:</t>
  </si>
  <si>
    <t>Line 3</t>
  </si>
  <si>
    <t xml:space="preserve">Line 7 </t>
  </si>
  <si>
    <t>Line 9</t>
  </si>
  <si>
    <t>Total Projected Manager Compensation</t>
  </si>
  <si>
    <t>Service Manager Pay Plan Calculator</t>
  </si>
  <si>
    <t>Total Billed Labor Projected</t>
  </si>
  <si>
    <t>Service Writer</t>
  </si>
  <si>
    <t>Shop Foreman</t>
  </si>
  <si>
    <t>Warranty Writer</t>
  </si>
  <si>
    <t>Service Manager</t>
  </si>
  <si>
    <t>Range          (11-15%)</t>
  </si>
  <si>
    <t>Yard Workers</t>
  </si>
  <si>
    <t>Totals</t>
  </si>
  <si>
    <t>Hrs/wk</t>
  </si>
  <si>
    <t>Annual Base</t>
  </si>
  <si>
    <t>Service Support Incentive</t>
  </si>
  <si>
    <t>Average Billed Hrs/Wk</t>
  </si>
  <si>
    <t>Incentive $ per Hr</t>
  </si>
  <si>
    <t>x # Support Persons</t>
  </si>
  <si>
    <t># Support Persons From Line 9 =</t>
  </si>
  <si>
    <t>Add'l Billed Labor $</t>
  </si>
  <si>
    <t>Total Support Persons Expense $</t>
  </si>
  <si>
    <t>Billable Efficiency %</t>
  </si>
  <si>
    <t>x # of Techs (Line 2)</t>
  </si>
  <si>
    <t>$ / Week</t>
  </si>
  <si>
    <t>x # Weeks =</t>
  </si>
  <si>
    <t>Total Base</t>
  </si>
  <si>
    <t>The PLAN: Service Support Compensation</t>
  </si>
  <si>
    <t>Total AER % w Techs</t>
  </si>
  <si>
    <t>Target = 30% + 13% = 43%</t>
  </si>
  <si>
    <t>Target  Range is 41% - 45%</t>
  </si>
  <si>
    <t>Total Target Support Compensation</t>
  </si>
  <si>
    <t>x Avg Billed Hrs x Incentive $ = Per Tech Amount</t>
  </si>
  <si>
    <t>Monthly Amount of Incentive x 4.33 weeks per Month</t>
  </si>
  <si>
    <t>Total Income (Add'l Billed Labor x 52 + Total Income Line 2)</t>
  </si>
  <si>
    <t>Avg Employees &gt;</t>
  </si>
  <si>
    <t>Parts Personnel (Line 6 Parts Spreadsheet)</t>
  </si>
  <si>
    <t>$ / Month</t>
  </si>
  <si>
    <t>Target  Range is 11% - 15%</t>
  </si>
  <si>
    <t>Parts Department</t>
  </si>
  <si>
    <t>Service Department</t>
  </si>
  <si>
    <t>3 - 5%</t>
  </si>
  <si>
    <t>The PLAN: Gen. Manager Comp.</t>
  </si>
  <si>
    <t>Service Manager Pay Plan Calculator - Scenario II</t>
  </si>
  <si>
    <t>= Changes</t>
  </si>
  <si>
    <t>General Manager Pay Plan Calculator</t>
  </si>
  <si>
    <t>Annual Salary</t>
  </si>
  <si>
    <t>Remaining Amount for Incentive  (Line 4-5)</t>
  </si>
  <si>
    <t>Plus incentive for Target Net Profit</t>
  </si>
  <si>
    <t>Min. Net Profit</t>
  </si>
  <si>
    <t>Target Net</t>
  </si>
  <si>
    <t>Target Net Profit</t>
  </si>
  <si>
    <t>(Line 10 x Line 12)</t>
  </si>
  <si>
    <t>Incentive Net</t>
  </si>
  <si>
    <t>Incentive Percentage</t>
  </si>
  <si>
    <t>(Linie 12 x Line 14)</t>
  </si>
  <si>
    <t>Other variations are to add incentives for:</t>
  </si>
  <si>
    <t>Inventory targets achieved in $ +/or Turnover</t>
  </si>
  <si>
    <t>*</t>
  </si>
  <si>
    <t>Certain CSI achieved</t>
  </si>
  <si>
    <t>Etc.</t>
  </si>
  <si>
    <t>Certain CSI Levels Achieved</t>
  </si>
  <si>
    <t>% of Compensation</t>
  </si>
  <si>
    <t>Annual Billable Efficiency %</t>
  </si>
  <si>
    <t>Service Manager Pay Plan Calculator - Scenario 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</si>
</sst>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  <numFmt numFmtId="166" formatCode="&quot;$&quot;#,##0.00"/>
    <numFmt numFmtId="167" formatCode="_(* #,##0_);_(* \(#,##0\);_(* &quot;-&quot;??_);_(@_)"/>
    <numFmt numFmtId="168" formatCode="0.0"/>
    <numFmt numFmtId="169" formatCode="&quot;$&quot;#,##0"/>
    <numFmt numFmtId="173" formatCode="#,##0.0_);\(#,##0.0\)"/>
  </numFmts>
  <fonts count="15" x14ac:knownFonts="1">
    <font>
      <sz val="10"/>
      <name val="Arial"/>
    </font>
    <font>
      <sz val="10"/>
      <name val="Arial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rgb="FFFF0000"/>
      <name val="Arial"/>
      <family val="2"/>
    </font>
    <font>
      <b/>
      <sz val="11"/>
      <color rgb="FF0000FF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D44B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21">
    <xf numFmtId="0" fontId="0" fillId="0" borderId="0" xfId="0"/>
    <xf numFmtId="0" fontId="4" fillId="0" borderId="0" xfId="0" applyFont="1" applyAlignment="1">
      <alignment horizontal="center"/>
    </xf>
    <xf numFmtId="0" fontId="5" fillId="3" borderId="0" xfId="0" applyFont="1" applyFill="1"/>
    <xf numFmtId="9" fontId="4" fillId="3" borderId="0" xfId="2" applyFont="1" applyFill="1" applyAlignment="1">
      <alignment horizontal="center"/>
    </xf>
    <xf numFmtId="9" fontId="5" fillId="3" borderId="0" xfId="2" applyFont="1" applyFill="1" applyAlignment="1">
      <alignment horizontal="center"/>
    </xf>
    <xf numFmtId="0" fontId="4" fillId="3" borderId="0" xfId="0" applyFont="1" applyFill="1" applyAlignment="1">
      <alignment horizontal="center"/>
    </xf>
    <xf numFmtId="164" fontId="4" fillId="3" borderId="0" xfId="1" applyNumberFormat="1" applyFont="1" applyFill="1"/>
    <xf numFmtId="0" fontId="4" fillId="5" borderId="0" xfId="0" applyFont="1" applyFill="1"/>
    <xf numFmtId="0" fontId="5" fillId="5" borderId="0" xfId="0" quotePrefix="1" applyFont="1" applyFill="1" applyAlignment="1">
      <alignment horizontal="center" wrapText="1"/>
    </xf>
    <xf numFmtId="0" fontId="4" fillId="0" borderId="0" xfId="0" applyFont="1"/>
    <xf numFmtId="0" fontId="5" fillId="0" borderId="0" xfId="0" applyFont="1" applyAlignment="1">
      <alignment horizontal="center"/>
    </xf>
    <xf numFmtId="0" fontId="5" fillId="3" borderId="0" xfId="0" applyFont="1" applyFill="1" applyAlignment="1">
      <alignment horizontal="center"/>
    </xf>
    <xf numFmtId="164" fontId="5" fillId="3" borderId="0" xfId="1" quotePrefix="1" applyNumberFormat="1" applyFont="1" applyFill="1" applyAlignment="1">
      <alignment horizontal="center"/>
    </xf>
    <xf numFmtId="9" fontId="5" fillId="3" borderId="0" xfId="2" quotePrefix="1" applyFont="1" applyFill="1" applyAlignment="1">
      <alignment horizontal="center" wrapText="1"/>
    </xf>
    <xf numFmtId="0" fontId="5" fillId="5" borderId="0" xfId="0" applyFont="1" applyFill="1" applyAlignment="1">
      <alignment horizontal="center"/>
    </xf>
    <xf numFmtId="0" fontId="5" fillId="5" borderId="0" xfId="0" quotePrefix="1" applyFont="1" applyFill="1" applyAlignment="1">
      <alignment horizontal="center"/>
    </xf>
    <xf numFmtId="0" fontId="5" fillId="5" borderId="0" xfId="0" applyFont="1" applyFill="1"/>
    <xf numFmtId="0" fontId="5" fillId="0" borderId="0" xfId="0" applyFont="1"/>
    <xf numFmtId="0" fontId="5" fillId="7" borderId="0" xfId="0" quotePrefix="1" applyFont="1" applyFill="1" applyAlignment="1">
      <alignment horizontal="left"/>
    </xf>
    <xf numFmtId="164" fontId="4" fillId="7" borderId="0" xfId="1" applyNumberFormat="1" applyFont="1" applyFill="1"/>
    <xf numFmtId="9" fontId="4" fillId="0" borderId="0" xfId="2" applyFont="1" applyAlignment="1">
      <alignment horizontal="center"/>
    </xf>
    <xf numFmtId="164" fontId="4" fillId="0" borderId="0" xfId="1" applyNumberFormat="1" applyFont="1"/>
    <xf numFmtId="9" fontId="5" fillId="5" borderId="0" xfId="2" quotePrefix="1" applyFont="1" applyFill="1" applyAlignment="1">
      <alignment horizontal="center" wrapText="1"/>
    </xf>
    <xf numFmtId="44" fontId="5" fillId="6" borderId="0" xfId="1" quotePrefix="1" applyFont="1" applyFill="1" applyAlignment="1">
      <alignment horizontal="center"/>
    </xf>
    <xf numFmtId="9" fontId="5" fillId="6" borderId="0" xfId="2" applyFont="1" applyFill="1" applyAlignment="1">
      <alignment horizontal="center"/>
    </xf>
    <xf numFmtId="0" fontId="5" fillId="6" borderId="0" xfId="0" quotePrefix="1" applyFont="1" applyFill="1" applyAlignment="1">
      <alignment horizontal="left"/>
    </xf>
    <xf numFmtId="0" fontId="5" fillId="6" borderId="0" xfId="0" quotePrefix="1" applyFont="1" applyFill="1" applyAlignment="1">
      <alignment horizontal="center"/>
    </xf>
    <xf numFmtId="3" fontId="5" fillId="0" borderId="0" xfId="0" quotePrefix="1" applyNumberFormat="1" applyFont="1" applyAlignment="1">
      <alignment horizontal="center"/>
    </xf>
    <xf numFmtId="9" fontId="5" fillId="6" borderId="0" xfId="2" quotePrefix="1" applyFont="1" applyFill="1" applyAlignment="1">
      <alignment horizontal="center"/>
    </xf>
    <xf numFmtId="37" fontId="5" fillId="0" borderId="0" xfId="3" quotePrefix="1" applyNumberFormat="1" applyFont="1" applyAlignment="1">
      <alignment horizontal="center"/>
    </xf>
    <xf numFmtId="44" fontId="5" fillId="0" borderId="0" xfId="1" quotePrefix="1" applyFont="1" applyFill="1" applyAlignment="1">
      <alignment horizontal="center"/>
    </xf>
    <xf numFmtId="164" fontId="5" fillId="0" borderId="0" xfId="0" applyNumberFormat="1" applyFont="1" applyAlignment="1"/>
    <xf numFmtId="9" fontId="5" fillId="0" borderId="0" xfId="2" applyFont="1" applyFill="1" applyAlignment="1">
      <alignment horizontal="center"/>
    </xf>
    <xf numFmtId="164" fontId="5" fillId="0" borderId="0" xfId="1" applyNumberFormat="1" applyFont="1"/>
    <xf numFmtId="0" fontId="5" fillId="0" borderId="2" xfId="0" quotePrefix="1" applyFont="1" applyBorder="1" applyAlignment="1">
      <alignment horizontal="left"/>
    </xf>
    <xf numFmtId="0" fontId="5" fillId="0" borderId="2" xfId="0" quotePrefix="1" applyFont="1" applyBorder="1" applyAlignment="1">
      <alignment horizontal="center"/>
    </xf>
    <xf numFmtId="3" fontId="5" fillId="0" borderId="2" xfId="3" quotePrefix="1" applyNumberFormat="1" applyFont="1" applyBorder="1" applyAlignment="1">
      <alignment horizontal="center"/>
    </xf>
    <xf numFmtId="9" fontId="5" fillId="0" borderId="2" xfId="0" quotePrefix="1" applyNumberFormat="1" applyFont="1" applyBorder="1" applyAlignment="1">
      <alignment horizontal="center"/>
    </xf>
    <xf numFmtId="37" fontId="5" fillId="0" borderId="2" xfId="3" quotePrefix="1" applyNumberFormat="1" applyFont="1" applyBorder="1" applyAlignment="1">
      <alignment horizontal="center"/>
    </xf>
    <xf numFmtId="16" fontId="4" fillId="0" borderId="2" xfId="0" quotePrefix="1" applyNumberFormat="1" applyFont="1" applyFill="1" applyBorder="1" applyAlignment="1">
      <alignment horizontal="center"/>
    </xf>
    <xf numFmtId="164" fontId="5" fillId="0" borderId="2" xfId="0" applyNumberFormat="1" applyFont="1" applyBorder="1"/>
    <xf numFmtId="0" fontId="5" fillId="0" borderId="2" xfId="0" applyFont="1" applyFill="1" applyBorder="1"/>
    <xf numFmtId="0" fontId="5" fillId="0" borderId="2" xfId="0" applyFont="1" applyBorder="1"/>
    <xf numFmtId="0" fontId="5" fillId="0" borderId="0" xfId="0" quotePrefix="1" applyFont="1" applyAlignment="1">
      <alignment horizontal="left"/>
    </xf>
    <xf numFmtId="0" fontId="5" fillId="0" borderId="0" xfId="0" quotePrefix="1" applyFont="1" applyAlignment="1">
      <alignment horizontal="center"/>
    </xf>
    <xf numFmtId="3" fontId="5" fillId="0" borderId="0" xfId="0" quotePrefix="1" applyNumberFormat="1" applyFont="1" applyAlignment="1">
      <alignment horizontal="left"/>
    </xf>
    <xf numFmtId="9" fontId="5" fillId="0" borderId="0" xfId="0" quotePrefix="1" applyNumberFormat="1" applyFont="1" applyBorder="1" applyAlignment="1">
      <alignment horizontal="center"/>
    </xf>
    <xf numFmtId="16" fontId="4" fillId="0" borderId="0" xfId="0" quotePrefix="1" applyNumberFormat="1" applyFont="1" applyFill="1" applyAlignment="1">
      <alignment horizontal="center"/>
    </xf>
    <xf numFmtId="0" fontId="4" fillId="0" borderId="0" xfId="0" applyFont="1" applyFill="1"/>
    <xf numFmtId="0" fontId="5" fillId="0" borderId="0" xfId="0" quotePrefix="1" applyFont="1" applyFill="1" applyAlignment="1">
      <alignment horizontal="left"/>
    </xf>
    <xf numFmtId="0" fontId="5" fillId="7" borderId="1" xfId="0" quotePrefix="1" applyFont="1" applyFill="1" applyBorder="1" applyAlignment="1">
      <alignment horizontal="left"/>
    </xf>
    <xf numFmtId="0" fontId="5" fillId="7" borderId="1" xfId="0" quotePrefix="1" applyFont="1" applyFill="1" applyBorder="1" applyAlignment="1">
      <alignment horizontal="center"/>
    </xf>
    <xf numFmtId="164" fontId="4" fillId="7" borderId="1" xfId="1" applyNumberFormat="1" applyFont="1" applyFill="1" applyBorder="1"/>
    <xf numFmtId="9" fontId="4" fillId="7" borderId="1" xfId="2" applyFont="1" applyFill="1" applyBorder="1" applyAlignment="1">
      <alignment horizontal="center"/>
    </xf>
    <xf numFmtId="3" fontId="5" fillId="7" borderId="1" xfId="3" applyNumberFormat="1" applyFont="1" applyFill="1" applyBorder="1" applyAlignment="1">
      <alignment horizontal="center"/>
    </xf>
    <xf numFmtId="9" fontId="5" fillId="7" borderId="1" xfId="2" applyFont="1" applyFill="1" applyBorder="1" applyAlignment="1">
      <alignment horizontal="center"/>
    </xf>
    <xf numFmtId="37" fontId="5" fillId="7" borderId="1" xfId="3" applyNumberFormat="1" applyFont="1" applyFill="1" applyBorder="1" applyAlignment="1">
      <alignment horizontal="center"/>
    </xf>
    <xf numFmtId="164" fontId="5" fillId="7" borderId="1" xfId="1" applyNumberFormat="1" applyFont="1" applyFill="1" applyBorder="1"/>
    <xf numFmtId="164" fontId="5" fillId="7" borderId="1" xfId="1" applyNumberFormat="1" applyFont="1" applyFill="1" applyBorder="1" applyAlignment="1">
      <alignment horizontal="center"/>
    </xf>
    <xf numFmtId="165" fontId="4" fillId="0" borderId="0" xfId="2" applyNumberFormat="1" applyFont="1" applyAlignment="1">
      <alignment horizontal="right"/>
    </xf>
    <xf numFmtId="164" fontId="4" fillId="0" borderId="0" xfId="1" applyNumberFormat="1" applyFont="1" applyBorder="1"/>
    <xf numFmtId="0" fontId="5" fillId="7" borderId="0" xfId="0" applyFont="1" applyFill="1"/>
    <xf numFmtId="0" fontId="5" fillId="7" borderId="0" xfId="0" applyFont="1" applyFill="1" applyAlignment="1">
      <alignment horizontal="center"/>
    </xf>
    <xf numFmtId="164" fontId="5" fillId="7" borderId="0" xfId="1" quotePrefix="1" applyNumberFormat="1" applyFont="1" applyFill="1" applyAlignment="1">
      <alignment horizontal="center"/>
    </xf>
    <xf numFmtId="164" fontId="5" fillId="7" borderId="0" xfId="1" quotePrefix="1" applyNumberFormat="1" applyFont="1" applyFill="1" applyAlignment="1">
      <alignment horizontal="center" wrapText="1"/>
    </xf>
    <xf numFmtId="0" fontId="5" fillId="5" borderId="0" xfId="0" quotePrefix="1" applyFont="1" applyFill="1" applyAlignment="1">
      <alignment horizontal="left"/>
    </xf>
    <xf numFmtId="2" fontId="5" fillId="6" borderId="0" xfId="0" quotePrefix="1" applyNumberFormat="1" applyFont="1" applyFill="1" applyAlignment="1">
      <alignment horizontal="center"/>
    </xf>
    <xf numFmtId="0" fontId="5" fillId="0" borderId="0" xfId="0" quotePrefix="1" applyFont="1" applyFill="1" applyAlignment="1">
      <alignment horizontal="center"/>
    </xf>
    <xf numFmtId="164" fontId="5" fillId="0" borderId="0" xfId="1" applyNumberFormat="1" applyFont="1" applyFill="1" applyAlignment="1">
      <alignment horizontal="center"/>
    </xf>
    <xf numFmtId="9" fontId="5" fillId="0" borderId="0" xfId="2" quotePrefix="1" applyFont="1" applyFill="1" applyAlignment="1">
      <alignment horizontal="center"/>
    </xf>
    <xf numFmtId="164" fontId="5" fillId="0" borderId="0" xfId="0" applyNumberFormat="1" applyFont="1"/>
    <xf numFmtId="164" fontId="5" fillId="5" borderId="2" xfId="1" quotePrefix="1" applyNumberFormat="1" applyFont="1" applyFill="1" applyBorder="1" applyAlignment="1">
      <alignment horizontal="left"/>
    </xf>
    <xf numFmtId="0" fontId="5" fillId="5" borderId="2" xfId="0" quotePrefix="1" applyFont="1" applyFill="1" applyBorder="1" applyAlignment="1">
      <alignment horizontal="center"/>
    </xf>
    <xf numFmtId="2" fontId="5" fillId="5" borderId="2" xfId="0" quotePrefix="1" applyNumberFormat="1" applyFont="1" applyFill="1" applyBorder="1" applyAlignment="1">
      <alignment horizontal="center"/>
    </xf>
    <xf numFmtId="9" fontId="4" fillId="5" borderId="2" xfId="2" applyFont="1" applyFill="1" applyBorder="1" applyAlignment="1">
      <alignment horizontal="center"/>
    </xf>
    <xf numFmtId="3" fontId="5" fillId="5" borderId="2" xfId="0" quotePrefix="1" applyNumberFormat="1" applyFont="1" applyFill="1" applyBorder="1" applyAlignment="1">
      <alignment horizontal="center"/>
    </xf>
    <xf numFmtId="9" fontId="5" fillId="5" borderId="2" xfId="2" applyFont="1" applyFill="1" applyBorder="1" applyAlignment="1">
      <alignment horizontal="center"/>
    </xf>
    <xf numFmtId="37" fontId="5" fillId="5" borderId="2" xfId="0" applyNumberFormat="1" applyFont="1" applyFill="1" applyBorder="1" applyAlignment="1">
      <alignment horizontal="center"/>
    </xf>
    <xf numFmtId="164" fontId="5" fillId="5" borderId="2" xfId="1" applyNumberFormat="1" applyFont="1" applyFill="1" applyBorder="1"/>
    <xf numFmtId="164" fontId="5" fillId="5" borderId="2" xfId="0" applyNumberFormat="1" applyFont="1" applyFill="1" applyBorder="1"/>
    <xf numFmtId="165" fontId="5" fillId="5" borderId="2" xfId="2" applyNumberFormat="1" applyFont="1" applyFill="1" applyBorder="1"/>
    <xf numFmtId="3" fontId="4" fillId="0" borderId="0" xfId="1" applyNumberFormat="1" applyFont="1"/>
    <xf numFmtId="3" fontId="5" fillId="0" borderId="0" xfId="1" applyNumberFormat="1" applyFont="1" applyAlignment="1">
      <alignment horizontal="center"/>
    </xf>
    <xf numFmtId="165" fontId="4" fillId="0" borderId="0" xfId="2" applyNumberFormat="1" applyFont="1"/>
    <xf numFmtId="0" fontId="5" fillId="5" borderId="2" xfId="0" quotePrefix="1" applyFont="1" applyFill="1" applyBorder="1" applyAlignment="1">
      <alignment horizontal="left"/>
    </xf>
    <xf numFmtId="0" fontId="5" fillId="5" borderId="3" xfId="0" quotePrefix="1" applyFont="1" applyFill="1" applyBorder="1" applyAlignment="1">
      <alignment horizontal="center"/>
    </xf>
    <xf numFmtId="0" fontId="5" fillId="0" borderId="3" xfId="0" quotePrefix="1" applyFont="1" applyBorder="1" applyAlignment="1">
      <alignment horizontal="center"/>
    </xf>
    <xf numFmtId="0" fontId="5" fillId="0" borderId="3" xfId="0" quotePrefix="1" applyFont="1" applyFill="1" applyBorder="1" applyAlignment="1">
      <alignment horizontal="center"/>
    </xf>
    <xf numFmtId="3" fontId="5" fillId="0" borderId="2" xfId="0" quotePrefix="1" applyNumberFormat="1" applyFont="1" applyBorder="1" applyAlignment="1">
      <alignment horizontal="center"/>
    </xf>
    <xf numFmtId="0" fontId="5" fillId="0" borderId="3" xfId="0" quotePrefix="1" applyFont="1" applyFill="1" applyBorder="1" applyAlignment="1">
      <alignment horizontal="left"/>
    </xf>
    <xf numFmtId="0" fontId="5" fillId="0" borderId="3" xfId="0" quotePrefix="1" applyFont="1" applyBorder="1" applyAlignment="1">
      <alignment horizontal="left"/>
    </xf>
    <xf numFmtId="164" fontId="5" fillId="0" borderId="2" xfId="1" applyNumberFormat="1" applyFont="1" applyBorder="1"/>
    <xf numFmtId="165" fontId="5" fillId="0" borderId="2" xfId="2" applyNumberFormat="1" applyFont="1" applyBorder="1"/>
    <xf numFmtId="0" fontId="5" fillId="5" borderId="1" xfId="0" quotePrefix="1" applyFont="1" applyFill="1" applyBorder="1" applyAlignment="1">
      <alignment horizontal="left"/>
    </xf>
    <xf numFmtId="0" fontId="5" fillId="5" borderId="1" xfId="0" applyFont="1" applyFill="1" applyBorder="1" applyAlignment="1">
      <alignment horizontal="center"/>
    </xf>
    <xf numFmtId="164" fontId="4" fillId="5" borderId="1" xfId="1" applyNumberFormat="1" applyFont="1" applyFill="1" applyBorder="1"/>
    <xf numFmtId="9" fontId="4" fillId="5" borderId="1" xfId="2" applyFont="1" applyFill="1" applyBorder="1" applyAlignment="1">
      <alignment horizontal="center"/>
    </xf>
    <xf numFmtId="3" fontId="5" fillId="5" borderId="1" xfId="1" applyNumberFormat="1" applyFont="1" applyFill="1" applyBorder="1" applyAlignment="1">
      <alignment horizontal="center"/>
    </xf>
    <xf numFmtId="165" fontId="5" fillId="5" borderId="1" xfId="2" applyNumberFormat="1" applyFont="1" applyFill="1" applyBorder="1" applyAlignment="1">
      <alignment horizontal="center"/>
    </xf>
    <xf numFmtId="37" fontId="5" fillId="5" borderId="1" xfId="0" applyNumberFormat="1" applyFont="1" applyFill="1" applyBorder="1" applyAlignment="1">
      <alignment horizontal="center"/>
    </xf>
    <xf numFmtId="164" fontId="5" fillId="5" borderId="1" xfId="1" applyNumberFormat="1" applyFont="1" applyFill="1" applyBorder="1"/>
    <xf numFmtId="164" fontId="5" fillId="5" borderId="1" xfId="0" applyNumberFormat="1" applyFont="1" applyFill="1" applyBorder="1"/>
    <xf numFmtId="165" fontId="5" fillId="5" borderId="1" xfId="2" applyNumberFormat="1" applyFont="1" applyFill="1" applyBorder="1"/>
    <xf numFmtId="164" fontId="4" fillId="0" borderId="0" xfId="0" applyNumberFormat="1" applyFont="1" applyFill="1"/>
    <xf numFmtId="164" fontId="5" fillId="0" borderId="0" xfId="1" applyNumberFormat="1" applyFont="1" applyBorder="1"/>
    <xf numFmtId="9" fontId="4" fillId="0" borderId="0" xfId="0" applyNumberFormat="1" applyFont="1"/>
    <xf numFmtId="164" fontId="5" fillId="0" borderId="0" xfId="0" quotePrefix="1" applyNumberFormat="1" applyFont="1" applyFill="1" applyAlignment="1">
      <alignment horizontal="center"/>
    </xf>
    <xf numFmtId="2" fontId="5" fillId="6" borderId="2" xfId="0" quotePrefix="1" applyNumberFormat="1" applyFont="1" applyFill="1" applyBorder="1" applyAlignment="1">
      <alignment horizontal="center"/>
    </xf>
    <xf numFmtId="9" fontId="5" fillId="5" borderId="2" xfId="2" quotePrefix="1" applyFont="1" applyFill="1" applyBorder="1" applyAlignment="1">
      <alignment horizontal="center"/>
    </xf>
    <xf numFmtId="3" fontId="5" fillId="5" borderId="2" xfId="1" applyNumberFormat="1" applyFont="1" applyFill="1" applyBorder="1" applyAlignment="1">
      <alignment horizontal="center"/>
    </xf>
    <xf numFmtId="164" fontId="5" fillId="5" borderId="2" xfId="1" applyNumberFormat="1" applyFont="1" applyFill="1" applyBorder="1" applyAlignment="1">
      <alignment horizontal="center"/>
    </xf>
    <xf numFmtId="3" fontId="5" fillId="7" borderId="1" xfId="2" applyNumberFormat="1" applyFont="1" applyFill="1" applyBorder="1" applyAlignment="1">
      <alignment horizontal="center"/>
    </xf>
    <xf numFmtId="3" fontId="5" fillId="7" borderId="1" xfId="1" applyNumberFormat="1" applyFont="1" applyFill="1" applyBorder="1" applyAlignment="1">
      <alignment horizontal="center"/>
    </xf>
    <xf numFmtId="165" fontId="5" fillId="7" borderId="1" xfId="2" applyNumberFormat="1" applyFont="1" applyFill="1" applyBorder="1" applyAlignment="1">
      <alignment horizontal="center"/>
    </xf>
    <xf numFmtId="165" fontId="5" fillId="7" borderId="2" xfId="2" applyNumberFormat="1" applyFont="1" applyFill="1" applyBorder="1"/>
    <xf numFmtId="0" fontId="5" fillId="8" borderId="0" xfId="0" quotePrefix="1" applyFont="1" applyFill="1" applyAlignment="1">
      <alignment horizontal="left"/>
    </xf>
    <xf numFmtId="0" fontId="5" fillId="8" borderId="0" xfId="0" quotePrefix="1" applyFont="1" applyFill="1" applyAlignment="1">
      <alignment horizontal="center"/>
    </xf>
    <xf numFmtId="164" fontId="6" fillId="8" borderId="0" xfId="1" applyNumberFormat="1" applyFont="1" applyFill="1"/>
    <xf numFmtId="9" fontId="4" fillId="8" borderId="0" xfId="2" applyFont="1" applyFill="1" applyAlignment="1">
      <alignment horizontal="center"/>
    </xf>
    <xf numFmtId="164" fontId="4" fillId="8" borderId="0" xfId="1" applyNumberFormat="1" applyFont="1" applyFill="1"/>
    <xf numFmtId="164" fontId="4" fillId="8" borderId="0" xfId="0" applyNumberFormat="1" applyFont="1" applyFill="1" applyAlignment="1">
      <alignment horizontal="center"/>
    </xf>
    <xf numFmtId="6" fontId="5" fillId="8" borderId="0" xfId="1" applyNumberFormat="1" applyFont="1" applyFill="1"/>
    <xf numFmtId="165" fontId="5" fillId="8" borderId="0" xfId="2" applyNumberFormat="1" applyFont="1" applyFill="1" applyAlignment="1">
      <alignment horizontal="center"/>
    </xf>
    <xf numFmtId="0" fontId="5" fillId="0" borderId="4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5" borderId="7" xfId="0" applyFont="1" applyFill="1" applyBorder="1" applyAlignment="1">
      <alignment vertical="center"/>
    </xf>
    <xf numFmtId="165" fontId="4" fillId="0" borderId="0" xfId="2" applyNumberFormat="1" applyFont="1" applyAlignment="1">
      <alignment horizontal="center"/>
    </xf>
    <xf numFmtId="0" fontId="5" fillId="0" borderId="9" xfId="0" applyFont="1" applyBorder="1" applyAlignment="1">
      <alignment vertical="center"/>
    </xf>
    <xf numFmtId="164" fontId="5" fillId="3" borderId="0" xfId="1" applyNumberFormat="1" applyFont="1" applyFill="1" applyAlignment="1">
      <alignment horizontal="center"/>
    </xf>
    <xf numFmtId="16" fontId="4" fillId="0" borderId="0" xfId="0" quotePrefix="1" applyNumberFormat="1" applyFont="1" applyAlignment="1">
      <alignment horizontal="center"/>
    </xf>
    <xf numFmtId="164" fontId="4" fillId="2" borderId="0" xfId="1" applyNumberFormat="1" applyFont="1" applyFill="1"/>
    <xf numFmtId="9" fontId="4" fillId="6" borderId="0" xfId="2" applyFont="1" applyFill="1" applyAlignment="1">
      <alignment horizontal="center"/>
    </xf>
    <xf numFmtId="165" fontId="4" fillId="2" borderId="0" xfId="2" applyNumberFormat="1" applyFont="1" applyFill="1" applyAlignment="1">
      <alignment horizontal="center"/>
    </xf>
    <xf numFmtId="0" fontId="4" fillId="7" borderId="1" xfId="0" applyFont="1" applyFill="1" applyBorder="1" applyAlignment="1">
      <alignment horizontal="center"/>
    </xf>
    <xf numFmtId="164" fontId="4" fillId="0" borderId="0" xfId="1" applyNumberFormat="1" applyFont="1" applyAlignment="1">
      <alignment horizontal="center"/>
    </xf>
    <xf numFmtId="164" fontId="4" fillId="6" borderId="0" xfId="1" applyNumberFormat="1" applyFont="1" applyFill="1"/>
    <xf numFmtId="37" fontId="4" fillId="6" borderId="0" xfId="1" applyNumberFormat="1" applyFont="1" applyFill="1" applyAlignment="1">
      <alignment horizontal="center"/>
    </xf>
    <xf numFmtId="0" fontId="5" fillId="7" borderId="2" xfId="0" quotePrefix="1" applyFont="1" applyFill="1" applyBorder="1" applyAlignment="1">
      <alignment horizontal="left"/>
    </xf>
    <xf numFmtId="164" fontId="4" fillId="7" borderId="2" xfId="1" applyNumberFormat="1" applyFont="1" applyFill="1" applyBorder="1"/>
    <xf numFmtId="9" fontId="4" fillId="7" borderId="2" xfId="2" applyFont="1" applyFill="1" applyBorder="1" applyAlignment="1">
      <alignment horizontal="center"/>
    </xf>
    <xf numFmtId="0" fontId="4" fillId="7" borderId="2" xfId="0" applyFont="1" applyFill="1" applyBorder="1" applyAlignment="1">
      <alignment horizontal="center"/>
    </xf>
    <xf numFmtId="0" fontId="5" fillId="0" borderId="0" xfId="0" quotePrefix="1" applyFont="1" applyBorder="1" applyAlignment="1">
      <alignment horizontal="left"/>
    </xf>
    <xf numFmtId="9" fontId="4" fillId="0" borderId="0" xfId="2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9" fontId="4" fillId="0" borderId="0" xfId="2" quotePrefix="1" applyFont="1" applyAlignment="1">
      <alignment horizontal="center"/>
    </xf>
    <xf numFmtId="164" fontId="4" fillId="0" borderId="0" xfId="1" applyNumberFormat="1" applyFont="1" applyFill="1"/>
    <xf numFmtId="9" fontId="4" fillId="0" borderId="0" xfId="2" applyFont="1" applyFill="1" applyAlignment="1">
      <alignment horizontal="center"/>
    </xf>
    <xf numFmtId="165" fontId="4" fillId="0" borderId="2" xfId="2" applyNumberFormat="1" applyFont="1" applyBorder="1" applyAlignment="1">
      <alignment horizontal="center"/>
    </xf>
    <xf numFmtId="165" fontId="4" fillId="5" borderId="1" xfId="2" applyNumberFormat="1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8" borderId="0" xfId="0" quotePrefix="1" applyFont="1" applyFill="1" applyAlignment="1">
      <alignment horizontal="left"/>
    </xf>
    <xf numFmtId="38" fontId="4" fillId="8" borderId="0" xfId="1" applyNumberFormat="1" applyFont="1" applyFill="1"/>
    <xf numFmtId="165" fontId="4" fillId="0" borderId="0" xfId="2" applyNumberFormat="1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quotePrefix="1" applyFont="1" applyFill="1" applyAlignment="1">
      <alignment horizontal="left"/>
    </xf>
    <xf numFmtId="38" fontId="4" fillId="0" borderId="0" xfId="1" applyNumberFormat="1" applyFont="1" applyFill="1"/>
    <xf numFmtId="165" fontId="4" fillId="0" borderId="0" xfId="2" applyNumberFormat="1" applyFont="1" applyFill="1" applyBorder="1" applyAlignment="1">
      <alignment horizontal="center"/>
    </xf>
    <xf numFmtId="0" fontId="5" fillId="0" borderId="0" xfId="0" quotePrefix="1" applyFont="1" applyFill="1" applyBorder="1" applyAlignment="1">
      <alignment horizontal="left"/>
    </xf>
    <xf numFmtId="164" fontId="5" fillId="0" borderId="0" xfId="1" applyNumberFormat="1" applyFont="1" applyFill="1" applyBorder="1"/>
    <xf numFmtId="9" fontId="5" fillId="0" borderId="0" xfId="2" applyFont="1" applyFill="1" applyBorder="1" applyAlignment="1">
      <alignment horizontal="center"/>
    </xf>
    <xf numFmtId="165" fontId="5" fillId="0" borderId="0" xfId="2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5" fontId="4" fillId="0" borderId="0" xfId="2" applyNumberFormat="1" applyFont="1" applyFill="1" applyBorder="1"/>
    <xf numFmtId="165" fontId="4" fillId="6" borderId="0" xfId="2" applyNumberFormat="1" applyFont="1" applyFill="1" applyBorder="1" applyAlignment="1">
      <alignment horizontal="center"/>
    </xf>
    <xf numFmtId="0" fontId="5" fillId="0" borderId="0" xfId="0" quotePrefix="1" applyFont="1" applyFill="1" applyBorder="1" applyAlignment="1">
      <alignment horizontal="center"/>
    </xf>
    <xf numFmtId="164" fontId="4" fillId="0" borderId="0" xfId="1" applyNumberFormat="1" applyFont="1" applyFill="1" applyBorder="1"/>
    <xf numFmtId="0" fontId="5" fillId="0" borderId="0" xfId="0" applyFont="1" applyFill="1"/>
    <xf numFmtId="0" fontId="5" fillId="3" borderId="1" xfId="0" quotePrefix="1" applyFont="1" applyFill="1" applyBorder="1" applyAlignment="1">
      <alignment horizontal="left"/>
    </xf>
    <xf numFmtId="164" fontId="5" fillId="3" borderId="1" xfId="1" applyNumberFormat="1" applyFont="1" applyFill="1" applyBorder="1"/>
    <xf numFmtId="9" fontId="5" fillId="3" borderId="1" xfId="2" applyFont="1" applyFill="1" applyBorder="1" applyAlignment="1">
      <alignment horizontal="center"/>
    </xf>
    <xf numFmtId="165" fontId="5" fillId="3" borderId="1" xfId="2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37" fontId="4" fillId="0" borderId="0" xfId="1" applyNumberFormat="1" applyFont="1" applyAlignment="1">
      <alignment horizontal="center"/>
    </xf>
    <xf numFmtId="0" fontId="4" fillId="0" borderId="0" xfId="0" quotePrefix="1" applyFont="1" applyAlignment="1">
      <alignment horizontal="center"/>
    </xf>
    <xf numFmtId="0" fontId="5" fillId="3" borderId="0" xfId="0" applyFont="1" applyFill="1" applyAlignment="1">
      <alignment horizontal="left"/>
    </xf>
    <xf numFmtId="0" fontId="4" fillId="0" borderId="0" xfId="0" applyFont="1" applyFill="1" applyBorder="1" applyAlignment="1">
      <alignment horizontal="center"/>
    </xf>
    <xf numFmtId="165" fontId="4" fillId="0" borderId="0" xfId="2" applyNumberFormat="1" applyFont="1" applyFill="1" applyAlignment="1">
      <alignment horizontal="center"/>
    </xf>
    <xf numFmtId="164" fontId="4" fillId="0" borderId="0" xfId="1" quotePrefix="1" applyNumberFormat="1" applyFont="1" applyAlignment="1">
      <alignment horizontal="center"/>
    </xf>
    <xf numFmtId="0" fontId="4" fillId="0" borderId="0" xfId="0" quotePrefix="1" applyFont="1" applyAlignment="1">
      <alignment horizontal="left"/>
    </xf>
    <xf numFmtId="164" fontId="4" fillId="0" borderId="2" xfId="1" applyNumberFormat="1" applyFont="1" applyBorder="1"/>
    <xf numFmtId="9" fontId="4" fillId="0" borderId="2" xfId="2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65" fontId="4" fillId="2" borderId="0" xfId="2" quotePrefix="1" applyNumberFormat="1" applyFont="1" applyFill="1" applyAlignment="1">
      <alignment horizontal="center"/>
    </xf>
    <xf numFmtId="165" fontId="4" fillId="0" borderId="2" xfId="2" applyNumberFormat="1" applyFont="1" applyFill="1" applyBorder="1" applyAlignment="1">
      <alignment horizontal="center"/>
    </xf>
    <xf numFmtId="164" fontId="4" fillId="5" borderId="2" xfId="1" applyNumberFormat="1" applyFont="1" applyFill="1" applyBorder="1"/>
    <xf numFmtId="165" fontId="5" fillId="9" borderId="2" xfId="2" applyNumberFormat="1" applyFont="1" applyFill="1" applyBorder="1" applyAlignment="1">
      <alignment horizontal="center"/>
    </xf>
    <xf numFmtId="165" fontId="4" fillId="5" borderId="2" xfId="2" applyNumberFormat="1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165" fontId="5" fillId="5" borderId="0" xfId="2" applyNumberFormat="1" applyFont="1" applyFill="1"/>
    <xf numFmtId="38" fontId="4" fillId="4" borderId="0" xfId="1" applyNumberFormat="1" applyFont="1" applyFill="1"/>
    <xf numFmtId="9" fontId="4" fillId="0" borderId="0" xfId="2" quotePrefix="1" applyFont="1" applyFill="1" applyAlignment="1">
      <alignment horizontal="center"/>
    </xf>
    <xf numFmtId="165" fontId="4" fillId="6" borderId="0" xfId="2" applyNumberFormat="1" applyFont="1" applyFill="1" applyAlignment="1">
      <alignment horizontal="center"/>
    </xf>
    <xf numFmtId="0" fontId="5" fillId="5" borderId="2" xfId="0" applyFont="1" applyFill="1" applyBorder="1"/>
    <xf numFmtId="165" fontId="4" fillId="5" borderId="0" xfId="2" applyNumberFormat="1" applyFont="1" applyFill="1"/>
    <xf numFmtId="164" fontId="4" fillId="5" borderId="0" xfId="1" applyNumberFormat="1" applyFont="1" applyFill="1"/>
    <xf numFmtId="9" fontId="4" fillId="5" borderId="0" xfId="2" quotePrefix="1" applyFont="1" applyFill="1" applyAlignment="1">
      <alignment horizontal="center"/>
    </xf>
    <xf numFmtId="37" fontId="4" fillId="5" borderId="0" xfId="1" applyNumberFormat="1" applyFont="1" applyFill="1" applyAlignment="1">
      <alignment horizontal="center"/>
    </xf>
    <xf numFmtId="9" fontId="4" fillId="5" borderId="0" xfId="2" applyFont="1" applyFill="1" applyAlignment="1">
      <alignment horizontal="center"/>
    </xf>
    <xf numFmtId="0" fontId="4" fillId="5" borderId="0" xfId="0" quotePrefix="1" applyFont="1" applyFill="1" applyAlignment="1">
      <alignment horizontal="center"/>
    </xf>
    <xf numFmtId="164" fontId="4" fillId="5" borderId="0" xfId="1" applyNumberFormat="1" applyFont="1" applyFill="1" applyAlignment="1">
      <alignment horizontal="center"/>
    </xf>
    <xf numFmtId="0" fontId="4" fillId="5" borderId="0" xfId="0" applyFont="1" applyFill="1" applyAlignment="1">
      <alignment horizontal="center"/>
    </xf>
    <xf numFmtId="0" fontId="5" fillId="6" borderId="1" xfId="0" applyFont="1" applyFill="1" applyBorder="1"/>
    <xf numFmtId="9" fontId="4" fillId="6" borderId="1" xfId="2" applyNumberFormat="1" applyFont="1" applyFill="1" applyBorder="1" applyAlignment="1">
      <alignment horizontal="center"/>
    </xf>
    <xf numFmtId="0" fontId="5" fillId="6" borderId="10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wrapText="1"/>
    </xf>
    <xf numFmtId="0" fontId="5" fillId="6" borderId="0" xfId="0" applyFont="1" applyFill="1" applyAlignment="1">
      <alignment wrapText="1"/>
    </xf>
    <xf numFmtId="166" fontId="7" fillId="0" borderId="5" xfId="0" applyNumberFormat="1" applyFont="1" applyBorder="1" applyAlignment="1">
      <alignment horizontal="center" vertical="center"/>
    </xf>
    <xf numFmtId="166" fontId="5" fillId="0" borderId="5" xfId="0" applyNumberFormat="1" applyFont="1" applyBorder="1" applyAlignment="1">
      <alignment horizontal="center"/>
    </xf>
    <xf numFmtId="166" fontId="5" fillId="0" borderId="5" xfId="0" applyNumberFormat="1" applyFont="1" applyBorder="1" applyAlignment="1">
      <alignment horizontal="center" vertical="center"/>
    </xf>
    <xf numFmtId="166" fontId="5" fillId="0" borderId="6" xfId="0" applyNumberFormat="1" applyFont="1" applyBorder="1" applyAlignment="1">
      <alignment horizontal="center"/>
    </xf>
    <xf numFmtId="166" fontId="7" fillId="0" borderId="0" xfId="0" applyNumberFormat="1" applyFont="1" applyBorder="1" applyAlignment="1">
      <alignment horizontal="center" vertical="center"/>
    </xf>
    <xf numFmtId="166" fontId="5" fillId="0" borderId="0" xfId="0" applyNumberFormat="1" applyFont="1" applyBorder="1" applyAlignment="1">
      <alignment horizontal="center"/>
    </xf>
    <xf numFmtId="166" fontId="5" fillId="0" borderId="0" xfId="0" applyNumberFormat="1" applyFont="1" applyBorder="1" applyAlignment="1">
      <alignment horizontal="center" vertical="center"/>
    </xf>
    <xf numFmtId="166" fontId="5" fillId="0" borderId="8" xfId="0" applyNumberFormat="1" applyFont="1" applyBorder="1" applyAlignment="1">
      <alignment horizontal="center"/>
    </xf>
    <xf numFmtId="166" fontId="7" fillId="5" borderId="0" xfId="0" applyNumberFormat="1" applyFont="1" applyFill="1" applyBorder="1" applyAlignment="1">
      <alignment horizontal="center" vertical="center"/>
    </xf>
    <xf numFmtId="166" fontId="5" fillId="5" borderId="0" xfId="0" applyNumberFormat="1" applyFont="1" applyFill="1" applyBorder="1" applyAlignment="1">
      <alignment horizontal="center"/>
    </xf>
    <xf numFmtId="166" fontId="5" fillId="5" borderId="8" xfId="0" applyNumberFormat="1" applyFont="1" applyFill="1" applyBorder="1" applyAlignment="1">
      <alignment horizontal="center"/>
    </xf>
    <xf numFmtId="166" fontId="5" fillId="0" borderId="10" xfId="0" applyNumberFormat="1" applyFont="1" applyBorder="1" applyAlignment="1">
      <alignment horizontal="center" vertical="center"/>
    </xf>
    <xf numFmtId="166" fontId="5" fillId="0" borderId="10" xfId="0" applyNumberFormat="1" applyFont="1" applyBorder="1" applyAlignment="1">
      <alignment horizontal="center"/>
    </xf>
    <xf numFmtId="166" fontId="5" fillId="0" borderId="11" xfId="0" applyNumberFormat="1" applyFont="1" applyBorder="1" applyAlignment="1">
      <alignment horizontal="center"/>
    </xf>
    <xf numFmtId="164" fontId="8" fillId="3" borderId="0" xfId="1" quotePrefix="1" applyNumberFormat="1" applyFont="1" applyFill="1" applyAlignment="1">
      <alignment horizontal="left"/>
    </xf>
    <xf numFmtId="164" fontId="8" fillId="3" borderId="0" xfId="1" quotePrefix="1" applyNumberFormat="1" applyFont="1" applyFill="1" applyAlignment="1">
      <alignment horizontal="right" vertical="center"/>
    </xf>
    <xf numFmtId="0" fontId="5" fillId="0" borderId="7" xfId="0" quotePrefix="1" applyFont="1" applyBorder="1" applyAlignment="1">
      <alignment horizontal="left" vertical="center"/>
    </xf>
    <xf numFmtId="9" fontId="9" fillId="3" borderId="0" xfId="2" applyFont="1" applyFill="1" applyAlignment="1">
      <alignment horizontal="center"/>
    </xf>
    <xf numFmtId="0" fontId="8" fillId="6" borderId="0" xfId="0" quotePrefix="1" applyFont="1" applyFill="1" applyAlignment="1">
      <alignment horizontal="left"/>
    </xf>
    <xf numFmtId="3" fontId="5" fillId="6" borderId="0" xfId="0" quotePrefix="1" applyNumberFormat="1" applyFont="1" applyFill="1" applyAlignment="1">
      <alignment horizontal="center"/>
    </xf>
    <xf numFmtId="0" fontId="5" fillId="10" borderId="0" xfId="0" applyFont="1" applyFill="1" applyAlignment="1">
      <alignment horizontal="left"/>
    </xf>
    <xf numFmtId="164" fontId="5" fillId="10" borderId="0" xfId="1" quotePrefix="1" applyNumberFormat="1" applyFont="1" applyFill="1" applyAlignment="1">
      <alignment horizontal="center"/>
    </xf>
    <xf numFmtId="9" fontId="5" fillId="10" borderId="0" xfId="2" applyFont="1" applyFill="1" applyAlignment="1">
      <alignment horizontal="center"/>
    </xf>
    <xf numFmtId="164" fontId="5" fillId="10" borderId="0" xfId="1" applyNumberFormat="1" applyFont="1" applyFill="1" applyAlignment="1">
      <alignment horizontal="center"/>
    </xf>
    <xf numFmtId="0" fontId="5" fillId="10" borderId="0" xfId="0" quotePrefix="1" applyFont="1" applyFill="1" applyAlignment="1">
      <alignment horizontal="center" wrapText="1"/>
    </xf>
    <xf numFmtId="0" fontId="5" fillId="10" borderId="0" xfId="0" applyFont="1" applyFill="1" applyAlignment="1">
      <alignment horizontal="center"/>
    </xf>
    <xf numFmtId="0" fontId="5" fillId="10" borderId="0" xfId="0" applyFont="1" applyFill="1"/>
    <xf numFmtId="10" fontId="4" fillId="2" borderId="0" xfId="2" applyNumberFormat="1" applyFont="1" applyFill="1" applyAlignment="1">
      <alignment horizontal="center"/>
    </xf>
    <xf numFmtId="0" fontId="5" fillId="8" borderId="2" xfId="0" quotePrefix="1" applyFont="1" applyFill="1" applyBorder="1" applyAlignment="1">
      <alignment horizontal="left"/>
    </xf>
    <xf numFmtId="164" fontId="4" fillId="8" borderId="2" xfId="1" applyNumberFormat="1" applyFont="1" applyFill="1" applyBorder="1"/>
    <xf numFmtId="9" fontId="4" fillId="8" borderId="2" xfId="2" applyFont="1" applyFill="1" applyBorder="1" applyAlignment="1">
      <alignment horizontal="center"/>
    </xf>
    <xf numFmtId="0" fontId="4" fillId="8" borderId="2" xfId="0" applyFont="1" applyFill="1" applyBorder="1" applyAlignment="1">
      <alignment horizontal="center"/>
    </xf>
    <xf numFmtId="164" fontId="8" fillId="10" borderId="0" xfId="1" quotePrefix="1" applyNumberFormat="1" applyFont="1" applyFill="1" applyAlignment="1">
      <alignment horizontal="left"/>
    </xf>
    <xf numFmtId="9" fontId="9" fillId="10" borderId="0" xfId="2" applyFont="1" applyFill="1" applyAlignment="1">
      <alignment horizontal="center"/>
    </xf>
    <xf numFmtId="164" fontId="8" fillId="10" borderId="0" xfId="1" quotePrefix="1" applyNumberFormat="1" applyFont="1" applyFill="1" applyAlignment="1">
      <alignment horizontal="right" vertical="center"/>
    </xf>
    <xf numFmtId="0" fontId="4" fillId="10" borderId="0" xfId="0" applyFont="1" applyFill="1" applyAlignment="1">
      <alignment horizontal="center"/>
    </xf>
    <xf numFmtId="164" fontId="4" fillId="10" borderId="0" xfId="1" applyNumberFormat="1" applyFont="1" applyFill="1"/>
    <xf numFmtId="0" fontId="4" fillId="10" borderId="0" xfId="0" applyFont="1" applyFill="1"/>
    <xf numFmtId="9" fontId="5" fillId="10" borderId="0" xfId="2" quotePrefix="1" applyFont="1" applyFill="1" applyAlignment="1">
      <alignment horizontal="center" wrapText="1"/>
    </xf>
    <xf numFmtId="0" fontId="5" fillId="10" borderId="0" xfId="0" quotePrefix="1" applyFont="1" applyFill="1" applyAlignment="1">
      <alignment horizontal="center"/>
    </xf>
    <xf numFmtId="167" fontId="5" fillId="7" borderId="1" xfId="3" quotePrefix="1" applyNumberFormat="1" applyFont="1" applyFill="1" applyBorder="1" applyAlignment="1">
      <alignment horizontal="center"/>
    </xf>
    <xf numFmtId="167" fontId="4" fillId="0" borderId="0" xfId="3" applyNumberFormat="1" applyFont="1"/>
    <xf numFmtId="9" fontId="5" fillId="7" borderId="1" xfId="2" quotePrefix="1" applyFont="1" applyFill="1" applyBorder="1" applyAlignment="1">
      <alignment horizontal="center"/>
    </xf>
    <xf numFmtId="168" fontId="5" fillId="5" borderId="2" xfId="0" quotePrefix="1" applyNumberFormat="1" applyFont="1" applyFill="1" applyBorder="1" applyAlignment="1">
      <alignment horizontal="center"/>
    </xf>
    <xf numFmtId="2" fontId="5" fillId="5" borderId="2" xfId="0" quotePrefix="1" applyNumberFormat="1" applyFont="1" applyFill="1" applyBorder="1" applyAlignment="1">
      <alignment horizontal="left"/>
    </xf>
    <xf numFmtId="164" fontId="5" fillId="0" borderId="0" xfId="1" quotePrefix="1" applyNumberFormat="1" applyFont="1" applyAlignment="1">
      <alignment horizontal="center"/>
    </xf>
    <xf numFmtId="164" fontId="5" fillId="7" borderId="0" xfId="1" quotePrefix="1" applyNumberFormat="1" applyFont="1" applyFill="1" applyAlignment="1">
      <alignment horizontal="left"/>
    </xf>
    <xf numFmtId="0" fontId="5" fillId="6" borderId="7" xfId="0" quotePrefix="1" applyFont="1" applyFill="1" applyBorder="1" applyAlignment="1">
      <alignment horizontal="left"/>
    </xf>
    <xf numFmtId="169" fontId="5" fillId="0" borderId="0" xfId="0" applyNumberFormat="1" applyFont="1" applyBorder="1" applyAlignment="1">
      <alignment horizontal="center" vertical="center"/>
    </xf>
    <xf numFmtId="169" fontId="5" fillId="0" borderId="10" xfId="0" applyNumberFormat="1" applyFont="1" applyBorder="1" applyAlignment="1">
      <alignment horizontal="center" vertical="center"/>
    </xf>
    <xf numFmtId="166" fontId="5" fillId="0" borderId="0" xfId="0" applyNumberFormat="1" applyFont="1" applyFill="1" applyBorder="1" applyAlignment="1">
      <alignment horizontal="center"/>
    </xf>
    <xf numFmtId="37" fontId="5" fillId="7" borderId="1" xfId="3" quotePrefix="1" applyNumberFormat="1" applyFont="1" applyFill="1" applyBorder="1" applyAlignment="1">
      <alignment horizontal="center"/>
    </xf>
    <xf numFmtId="169" fontId="5" fillId="0" borderId="0" xfId="0" applyNumberFormat="1" applyFont="1" applyBorder="1" applyAlignment="1">
      <alignment horizontal="center"/>
    </xf>
    <xf numFmtId="169" fontId="5" fillId="0" borderId="10" xfId="0" applyNumberFormat="1" applyFont="1" applyBorder="1" applyAlignment="1">
      <alignment horizontal="center"/>
    </xf>
    <xf numFmtId="168" fontId="5" fillId="6" borderId="10" xfId="0" applyNumberFormat="1" applyFont="1" applyFill="1" applyBorder="1" applyAlignment="1">
      <alignment horizontal="center" wrapText="1"/>
    </xf>
    <xf numFmtId="164" fontId="8" fillId="3" borderId="0" xfId="1" quotePrefix="1" applyNumberFormat="1" applyFont="1" applyFill="1" applyAlignment="1">
      <alignment horizontal="center"/>
    </xf>
    <xf numFmtId="164" fontId="8" fillId="10" borderId="0" xfId="1" quotePrefix="1" applyNumberFormat="1" applyFont="1" applyFill="1" applyAlignment="1">
      <alignment horizontal="center"/>
    </xf>
    <xf numFmtId="9" fontId="5" fillId="8" borderId="0" xfId="2" applyFont="1" applyFill="1" applyAlignment="1">
      <alignment horizontal="center"/>
    </xf>
    <xf numFmtId="164" fontId="5" fillId="8" borderId="0" xfId="0" applyNumberFormat="1" applyFont="1" applyFill="1" applyAlignment="1">
      <alignment horizontal="center"/>
    </xf>
    <xf numFmtId="37" fontId="5" fillId="0" borderId="0" xfId="3" applyNumberFormat="1" applyFont="1" applyBorder="1" applyAlignment="1">
      <alignment horizontal="center"/>
    </xf>
    <xf numFmtId="37" fontId="5" fillId="0" borderId="10" xfId="3" applyNumberFormat="1" applyFont="1" applyBorder="1" applyAlignment="1">
      <alignment horizontal="center"/>
    </xf>
    <xf numFmtId="166" fontId="5" fillId="8" borderId="0" xfId="0" applyNumberFormat="1" applyFont="1" applyFill="1" applyBorder="1" applyAlignment="1">
      <alignment horizontal="center"/>
    </xf>
    <xf numFmtId="166" fontId="5" fillId="6" borderId="0" xfId="0" applyNumberFormat="1" applyFont="1" applyFill="1" applyBorder="1" applyAlignment="1">
      <alignment horizontal="center"/>
    </xf>
    <xf numFmtId="166" fontId="5" fillId="6" borderId="10" xfId="0" applyNumberFormat="1" applyFont="1" applyFill="1" applyBorder="1" applyAlignment="1">
      <alignment horizontal="center"/>
    </xf>
    <xf numFmtId="168" fontId="5" fillId="5" borderId="13" xfId="0" applyNumberFormat="1" applyFont="1" applyFill="1" applyBorder="1" applyAlignment="1">
      <alignment horizontal="center"/>
    </xf>
    <xf numFmtId="9" fontId="4" fillId="10" borderId="0" xfId="2" applyFont="1" applyFill="1" applyAlignment="1">
      <alignment horizontal="center"/>
    </xf>
    <xf numFmtId="9" fontId="4" fillId="5" borderId="12" xfId="2" applyFont="1" applyFill="1" applyBorder="1" applyAlignment="1">
      <alignment horizontal="center"/>
    </xf>
    <xf numFmtId="0" fontId="12" fillId="5" borderId="2" xfId="0" applyFont="1" applyFill="1" applyBorder="1" applyAlignment="1">
      <alignment horizontal="center"/>
    </xf>
    <xf numFmtId="164" fontId="5" fillId="5" borderId="2" xfId="1" applyNumberFormat="1" applyFont="1" applyFill="1" applyBorder="1" applyAlignment="1">
      <alignment horizontal="right"/>
    </xf>
    <xf numFmtId="165" fontId="5" fillId="0" borderId="8" xfId="2" applyNumberFormat="1" applyFont="1" applyBorder="1" applyAlignment="1">
      <alignment horizontal="center"/>
    </xf>
    <xf numFmtId="165" fontId="5" fillId="0" borderId="11" xfId="2" applyNumberFormat="1" applyFont="1" applyBorder="1" applyAlignment="1">
      <alignment horizontal="center"/>
    </xf>
    <xf numFmtId="169" fontId="5" fillId="6" borderId="0" xfId="0" quotePrefix="1" applyNumberFormat="1" applyFont="1" applyFill="1" applyAlignment="1">
      <alignment horizontal="center"/>
    </xf>
    <xf numFmtId="165" fontId="5" fillId="5" borderId="2" xfId="2" applyNumberFormat="1" applyFont="1" applyFill="1" applyBorder="1" applyAlignment="1">
      <alignment horizontal="center"/>
    </xf>
    <xf numFmtId="165" fontId="5" fillId="0" borderId="14" xfId="2" applyNumberFormat="1" applyFont="1" applyBorder="1" applyAlignment="1">
      <alignment horizontal="center"/>
    </xf>
    <xf numFmtId="0" fontId="4" fillId="6" borderId="0" xfId="0" applyFont="1" applyFill="1"/>
    <xf numFmtId="0" fontId="5" fillId="6" borderId="0" xfId="0" applyFont="1" applyFill="1"/>
    <xf numFmtId="0" fontId="5" fillId="6" borderId="0" xfId="0" applyFont="1" applyFill="1" applyAlignment="1">
      <alignment horizontal="right"/>
    </xf>
    <xf numFmtId="165" fontId="5" fillId="6" borderId="0" xfId="2" applyNumberFormat="1" applyFont="1" applyFill="1" applyBorder="1" applyAlignment="1">
      <alignment horizontal="center" vertical="center"/>
    </xf>
    <xf numFmtId="165" fontId="5" fillId="6" borderId="10" xfId="2" applyNumberFormat="1" applyFont="1" applyFill="1" applyBorder="1" applyAlignment="1">
      <alignment horizontal="center" vertical="center"/>
    </xf>
    <xf numFmtId="39" fontId="5" fillId="8" borderId="0" xfId="3" applyNumberFormat="1" applyFont="1" applyFill="1" applyBorder="1" applyAlignment="1">
      <alignment horizontal="center" vertical="center"/>
    </xf>
    <xf numFmtId="39" fontId="5" fillId="0" borderId="0" xfId="3" applyNumberFormat="1" applyFont="1" applyFill="1" applyBorder="1" applyAlignment="1">
      <alignment horizontal="center" vertical="center"/>
    </xf>
    <xf numFmtId="39" fontId="5" fillId="0" borderId="10" xfId="3" applyNumberFormat="1" applyFont="1" applyFill="1" applyBorder="1" applyAlignment="1">
      <alignment horizontal="center" vertical="center"/>
    </xf>
    <xf numFmtId="0" fontId="5" fillId="0" borderId="7" xfId="0" quotePrefix="1" applyFont="1" applyFill="1" applyBorder="1" applyAlignment="1">
      <alignment horizontal="left"/>
    </xf>
    <xf numFmtId="0" fontId="5" fillId="0" borderId="9" xfId="0" applyFont="1" applyFill="1" applyBorder="1" applyAlignment="1">
      <alignment vertical="center"/>
    </xf>
    <xf numFmtId="0" fontId="13" fillId="6" borderId="10" xfId="0" quotePrefix="1" applyFont="1" applyFill="1" applyBorder="1" applyAlignment="1">
      <alignment horizontal="left"/>
    </xf>
    <xf numFmtId="173" fontId="4" fillId="7" borderId="2" xfId="3" applyNumberFormat="1" applyFont="1" applyFill="1" applyBorder="1" applyAlignment="1">
      <alignment horizontal="center"/>
    </xf>
    <xf numFmtId="9" fontId="4" fillId="7" borderId="2" xfId="2" applyFont="1" applyFill="1" applyBorder="1" applyAlignment="1">
      <alignment horizontal="right"/>
    </xf>
    <xf numFmtId="165" fontId="4" fillId="0" borderId="0" xfId="0" applyNumberFormat="1" applyFont="1"/>
    <xf numFmtId="165" fontId="4" fillId="10" borderId="0" xfId="2" applyNumberFormat="1" applyFont="1" applyFill="1" applyAlignment="1">
      <alignment horizontal="center"/>
    </xf>
    <xf numFmtId="165" fontId="4" fillId="5" borderId="0" xfId="2" applyNumberFormat="1" applyFont="1" applyFill="1" applyAlignment="1">
      <alignment horizontal="center"/>
    </xf>
    <xf numFmtId="164" fontId="4" fillId="0" borderId="0" xfId="0" applyNumberFormat="1" applyFont="1"/>
    <xf numFmtId="0" fontId="5" fillId="8" borderId="7" xfId="0" quotePrefix="1" applyFont="1" applyFill="1" applyBorder="1" applyAlignment="1">
      <alignment horizontal="left"/>
    </xf>
    <xf numFmtId="165" fontId="5" fillId="8" borderId="0" xfId="2" applyNumberFormat="1" applyFont="1" applyFill="1" applyBorder="1" applyAlignment="1">
      <alignment horizontal="center" vertical="center"/>
    </xf>
    <xf numFmtId="169" fontId="5" fillId="8" borderId="0" xfId="0" applyNumberFormat="1" applyFont="1" applyFill="1" applyBorder="1" applyAlignment="1">
      <alignment horizontal="center"/>
    </xf>
    <xf numFmtId="37" fontId="5" fillId="8" borderId="0" xfId="3" applyNumberFormat="1" applyFont="1" applyFill="1" applyBorder="1" applyAlignment="1">
      <alignment horizontal="center"/>
    </xf>
    <xf numFmtId="169" fontId="5" fillId="8" borderId="0" xfId="0" applyNumberFormat="1" applyFont="1" applyFill="1" applyBorder="1" applyAlignment="1">
      <alignment horizontal="center" vertical="center"/>
    </xf>
    <xf numFmtId="166" fontId="5" fillId="8" borderId="0" xfId="0" applyNumberFormat="1" applyFont="1" applyFill="1" applyBorder="1" applyAlignment="1">
      <alignment horizontal="center" vertical="center"/>
    </xf>
    <xf numFmtId="165" fontId="5" fillId="8" borderId="8" xfId="2" applyNumberFormat="1" applyFont="1" applyFill="1" applyBorder="1" applyAlignment="1">
      <alignment horizontal="center"/>
    </xf>
    <xf numFmtId="44" fontId="5" fillId="8" borderId="0" xfId="1" quotePrefix="1" applyFont="1" applyFill="1" applyAlignment="1">
      <alignment horizontal="center"/>
    </xf>
    <xf numFmtId="0" fontId="4" fillId="8" borderId="0" xfId="0" applyFont="1" applyFill="1" applyAlignment="1">
      <alignment horizontal="center"/>
    </xf>
    <xf numFmtId="0" fontId="14" fillId="8" borderId="0" xfId="0" quotePrefix="1" applyFont="1" applyFill="1" applyAlignment="1">
      <alignment horizontal="center" vertical="center" wrapText="1"/>
    </xf>
    <xf numFmtId="164" fontId="4" fillId="0" borderId="0" xfId="0" applyNumberFormat="1" applyFont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5" fillId="11" borderId="0" xfId="0" quotePrefix="1" applyFont="1" applyFill="1" applyAlignment="1">
      <alignment horizontal="left"/>
    </xf>
    <xf numFmtId="0" fontId="5" fillId="11" borderId="0" xfId="0" applyFont="1" applyFill="1" applyAlignment="1">
      <alignment horizontal="center"/>
    </xf>
    <xf numFmtId="164" fontId="5" fillId="11" borderId="0" xfId="1" applyNumberFormat="1" applyFont="1" applyFill="1" applyAlignment="1">
      <alignment horizontal="center"/>
    </xf>
    <xf numFmtId="165" fontId="4" fillId="6" borderId="0" xfId="0" applyNumberFormat="1" applyFont="1" applyFill="1" applyAlignment="1">
      <alignment horizontal="center"/>
    </xf>
    <xf numFmtId="165" fontId="4" fillId="10" borderId="0" xfId="2" applyNumberFormat="1" applyFont="1" applyFill="1"/>
    <xf numFmtId="2" fontId="5" fillId="5" borderId="13" xfId="0" applyNumberFormat="1" applyFont="1" applyFill="1" applyBorder="1" applyAlignment="1">
      <alignment horizontal="center"/>
    </xf>
    <xf numFmtId="165" fontId="5" fillId="0" borderId="0" xfId="2" applyNumberFormat="1" applyFont="1" applyFill="1" applyBorder="1" applyAlignment="1">
      <alignment horizontal="center" vertical="center"/>
    </xf>
    <xf numFmtId="169" fontId="5" fillId="0" borderId="0" xfId="0" applyNumberFormat="1" applyFont="1" applyFill="1" applyBorder="1" applyAlignment="1">
      <alignment horizontal="center"/>
    </xf>
    <xf numFmtId="37" fontId="5" fillId="0" borderId="0" xfId="3" applyNumberFormat="1" applyFont="1" applyFill="1" applyBorder="1" applyAlignment="1">
      <alignment horizontal="center"/>
    </xf>
    <xf numFmtId="169" fontId="5" fillId="0" borderId="0" xfId="0" applyNumberFormat="1" applyFont="1" applyFill="1" applyBorder="1" applyAlignment="1">
      <alignment horizontal="center" vertical="center"/>
    </xf>
    <xf numFmtId="166" fontId="5" fillId="0" borderId="0" xfId="0" applyNumberFormat="1" applyFont="1" applyFill="1" applyBorder="1" applyAlignment="1">
      <alignment horizontal="center" vertical="center"/>
    </xf>
    <xf numFmtId="165" fontId="5" fillId="0" borderId="8" xfId="2" applyNumberFormat="1" applyFont="1" applyFill="1" applyBorder="1" applyAlignment="1">
      <alignment horizontal="center"/>
    </xf>
  </cellXfs>
  <cellStyles count="4">
    <cellStyle name="Comma" xfId="3" builtinId="3"/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CCFFCC"/>
      <color rgb="FFCCFFFF"/>
      <color rgb="FFFFFFCC"/>
      <color rgb="FFFFFF99"/>
      <color rgb="FFFFCCCC"/>
      <color rgb="FFFF9999"/>
      <color rgb="FFCCFF66"/>
      <color rgb="FFFF99CC"/>
      <color rgb="FFFFD44B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36"/>
  <sheetViews>
    <sheetView topLeftCell="G1" zoomScale="110" zoomScaleNormal="110" workbookViewId="0">
      <selection activeCell="L14" sqref="L14"/>
    </sheetView>
  </sheetViews>
  <sheetFormatPr defaultColWidth="8.88671875" defaultRowHeight="13.8" x14ac:dyDescent="0.25"/>
  <cols>
    <col min="1" max="1" width="4.6640625" style="1" customWidth="1"/>
    <col min="2" max="2" width="36" style="17" customWidth="1"/>
    <col min="3" max="3" width="12.88671875" style="21" customWidth="1"/>
    <col min="4" max="4" width="10.6640625" style="20" customWidth="1"/>
    <col min="5" max="5" width="11.33203125" style="21" bestFit="1" customWidth="1"/>
    <col min="6" max="6" width="15.88671875" style="20" bestFit="1" customWidth="1"/>
    <col min="7" max="7" width="4.5546875" style="1" customWidth="1"/>
    <col min="8" max="8" width="20.5546875" style="21" bestFit="1" customWidth="1"/>
    <col min="9" max="9" width="11.109375" style="9" bestFit="1" customWidth="1"/>
    <col min="10" max="10" width="8.88671875" style="9"/>
    <col min="11" max="11" width="4.6640625" style="1" customWidth="1"/>
    <col min="12" max="12" width="36" style="17" customWidth="1"/>
    <col min="13" max="13" width="15.44140625" style="21" bestFit="1" customWidth="1"/>
    <col min="14" max="14" width="10.6640625" style="20" customWidth="1"/>
    <col min="15" max="15" width="12.33203125" style="21" customWidth="1"/>
    <col min="16" max="16" width="15.88671875" style="20" bestFit="1" customWidth="1"/>
    <col min="17" max="17" width="4.5546875" style="1" customWidth="1"/>
    <col min="18" max="18" width="20.5546875" style="21" bestFit="1" customWidth="1"/>
    <col min="19" max="19" width="11.109375" style="9" bestFit="1" customWidth="1"/>
    <col min="20" max="16384" width="8.88671875" style="9"/>
  </cols>
  <sheetData>
    <row r="1" spans="1:19" ht="21" x14ac:dyDescent="0.4">
      <c r="B1" s="261" t="s">
        <v>101</v>
      </c>
      <c r="C1" s="261"/>
      <c r="D1" s="261"/>
      <c r="E1" s="261"/>
      <c r="F1" s="261"/>
      <c r="G1" s="261"/>
      <c r="H1" s="261"/>
      <c r="I1" s="261"/>
      <c r="L1" s="262" t="s">
        <v>124</v>
      </c>
      <c r="M1" s="262"/>
      <c r="N1" s="262"/>
      <c r="O1" s="262"/>
      <c r="P1" s="262"/>
      <c r="Q1" s="262"/>
      <c r="R1" s="262"/>
      <c r="S1" s="262"/>
    </row>
    <row r="2" spans="1:19" s="17" customFormat="1" ht="41.4" x14ac:dyDescent="0.25">
      <c r="A2" s="1" t="s">
        <v>112</v>
      </c>
      <c r="B2" s="174" t="s">
        <v>0</v>
      </c>
      <c r="C2" s="12" t="s">
        <v>71</v>
      </c>
      <c r="D2" s="4" t="s">
        <v>2</v>
      </c>
      <c r="E2" s="128" t="s">
        <v>3</v>
      </c>
      <c r="F2" s="8" t="s">
        <v>83</v>
      </c>
      <c r="G2" s="11"/>
      <c r="H2" s="128" t="s">
        <v>5</v>
      </c>
      <c r="I2" s="16" t="s">
        <v>12</v>
      </c>
      <c r="K2" s="1" t="s">
        <v>112</v>
      </c>
      <c r="L2" s="226" t="s">
        <v>0</v>
      </c>
      <c r="M2" s="227" t="s">
        <v>71</v>
      </c>
      <c r="N2" s="228" t="s">
        <v>2</v>
      </c>
      <c r="O2" s="229" t="s">
        <v>3</v>
      </c>
      <c r="P2" s="230" t="s">
        <v>83</v>
      </c>
      <c r="Q2" s="231"/>
      <c r="R2" s="229" t="s">
        <v>5</v>
      </c>
      <c r="S2" s="232" t="s">
        <v>12</v>
      </c>
    </row>
    <row r="3" spans="1:19" x14ac:dyDescent="0.25">
      <c r="B3" s="18" t="s">
        <v>15</v>
      </c>
      <c r="C3" s="19"/>
      <c r="L3" s="18" t="s">
        <v>15</v>
      </c>
      <c r="M3" s="19"/>
    </row>
    <row r="4" spans="1:19" x14ac:dyDescent="0.25">
      <c r="B4" s="43"/>
      <c r="C4" s="43"/>
      <c r="D4" s="43"/>
      <c r="E4" s="43"/>
      <c r="F4" s="43"/>
      <c r="G4" s="43"/>
      <c r="H4" s="43"/>
      <c r="I4" s="129"/>
      <c r="L4" s="43"/>
      <c r="M4" s="43"/>
      <c r="N4" s="43"/>
      <c r="O4" s="43"/>
      <c r="P4" s="43"/>
      <c r="Q4" s="43"/>
      <c r="R4" s="43"/>
      <c r="S4" s="129"/>
    </row>
    <row r="5" spans="1:19" x14ac:dyDescent="0.25">
      <c r="A5" s="1">
        <v>1</v>
      </c>
      <c r="B5" s="43" t="s">
        <v>65</v>
      </c>
      <c r="C5" s="130">
        <v>2000000</v>
      </c>
      <c r="D5" s="131">
        <v>0.18</v>
      </c>
      <c r="E5" s="21">
        <f>+C5*D5</f>
        <v>360000</v>
      </c>
      <c r="F5" s="132">
        <v>0.15</v>
      </c>
      <c r="G5" s="1" t="s">
        <v>6</v>
      </c>
      <c r="H5" s="21">
        <f>+E5*F5</f>
        <v>54000</v>
      </c>
      <c r="I5" s="129" t="s">
        <v>61</v>
      </c>
      <c r="K5" s="1">
        <v>1</v>
      </c>
      <c r="L5" s="43" t="s">
        <v>117</v>
      </c>
      <c r="M5" s="130">
        <v>12000000</v>
      </c>
      <c r="N5" s="131">
        <v>0.18</v>
      </c>
      <c r="O5" s="21">
        <f>+M5*N5</f>
        <v>2160000</v>
      </c>
      <c r="P5" s="132">
        <v>0.05</v>
      </c>
      <c r="Q5" s="1" t="s">
        <v>6</v>
      </c>
      <c r="R5" s="21">
        <f>+O5*P5</f>
        <v>108000</v>
      </c>
      <c r="S5" s="129" t="s">
        <v>116</v>
      </c>
    </row>
    <row r="6" spans="1:19" ht="14.1" customHeight="1" x14ac:dyDescent="0.25">
      <c r="B6" s="43"/>
      <c r="C6" s="43"/>
      <c r="D6" s="43"/>
      <c r="E6" s="43"/>
      <c r="F6" s="43"/>
      <c r="G6" s="43"/>
      <c r="H6" s="43"/>
      <c r="L6" s="43"/>
      <c r="M6" s="43"/>
      <c r="N6" s="43"/>
      <c r="O6" s="43"/>
      <c r="P6" s="43"/>
      <c r="Q6" s="43"/>
      <c r="R6" s="43"/>
    </row>
    <row r="7" spans="1:19" ht="14.4" thickBot="1" x14ac:dyDescent="0.3">
      <c r="A7" s="1">
        <v>2</v>
      </c>
      <c r="B7" s="50" t="s">
        <v>14</v>
      </c>
      <c r="C7" s="57">
        <f>SUM(C5:C6)</f>
        <v>2000000</v>
      </c>
      <c r="D7" s="113">
        <f>+E7/C7</f>
        <v>0.18</v>
      </c>
      <c r="E7" s="57">
        <f>SUM(E5:E6)</f>
        <v>360000</v>
      </c>
      <c r="F7" s="113">
        <f>+H7/E7</f>
        <v>0.15</v>
      </c>
      <c r="G7" s="133"/>
      <c r="H7" s="57">
        <f>SUM(H5:H6)</f>
        <v>54000</v>
      </c>
      <c r="I7" s="126">
        <f>+H7/E5</f>
        <v>0.15</v>
      </c>
      <c r="K7" s="1">
        <v>2</v>
      </c>
      <c r="L7" s="50" t="s">
        <v>14</v>
      </c>
      <c r="M7" s="57">
        <f>SUM(M5:M6)</f>
        <v>12000000</v>
      </c>
      <c r="N7" s="113">
        <f>+O7/M7</f>
        <v>0.18</v>
      </c>
      <c r="O7" s="57">
        <f>SUM(O5:O6)</f>
        <v>2160000</v>
      </c>
      <c r="P7" s="113">
        <f>+R7/O7</f>
        <v>0.05</v>
      </c>
      <c r="Q7" s="133"/>
      <c r="R7" s="57">
        <f>SUM(R5:R6)</f>
        <v>108000</v>
      </c>
      <c r="S7" s="126">
        <f>+R7/O5</f>
        <v>0.05</v>
      </c>
    </row>
    <row r="8" spans="1:19" s="48" customFormat="1" ht="14.4" thickTop="1" x14ac:dyDescent="0.25">
      <c r="A8" s="153"/>
      <c r="B8" s="157"/>
      <c r="C8" s="158"/>
      <c r="D8" s="160"/>
      <c r="E8" s="158"/>
      <c r="F8" s="160"/>
      <c r="G8" s="175"/>
      <c r="H8" s="158"/>
      <c r="I8" s="176"/>
      <c r="K8" s="153"/>
      <c r="L8" s="157"/>
      <c r="M8" s="158"/>
      <c r="N8" s="160"/>
      <c r="O8" s="158"/>
      <c r="P8" s="160"/>
      <c r="Q8" s="175"/>
      <c r="R8" s="158"/>
      <c r="S8" s="176"/>
    </row>
    <row r="10" spans="1:19" x14ac:dyDescent="0.25">
      <c r="B10" s="61" t="s">
        <v>11</v>
      </c>
      <c r="C10" s="134" t="s">
        <v>72</v>
      </c>
      <c r="E10" s="134" t="s">
        <v>73</v>
      </c>
      <c r="H10" s="177" t="s">
        <v>103</v>
      </c>
      <c r="L10" s="61" t="s">
        <v>11</v>
      </c>
      <c r="M10" s="134" t="s">
        <v>72</v>
      </c>
      <c r="O10" s="134" t="s">
        <v>73</v>
      </c>
      <c r="R10" s="177" t="s">
        <v>103</v>
      </c>
    </row>
    <row r="11" spans="1:19" x14ac:dyDescent="0.25">
      <c r="A11" s="1">
        <v>3</v>
      </c>
      <c r="B11" s="18" t="s">
        <v>66</v>
      </c>
      <c r="C11" s="135">
        <v>2000</v>
      </c>
      <c r="D11" s="20" t="s">
        <v>13</v>
      </c>
      <c r="E11" s="136">
        <v>12</v>
      </c>
      <c r="G11" s="1" t="s">
        <v>6</v>
      </c>
      <c r="H11" s="130">
        <f>+C11*E11</f>
        <v>24000</v>
      </c>
      <c r="I11" s="83"/>
      <c r="K11" s="1">
        <v>3</v>
      </c>
      <c r="L11" s="18" t="s">
        <v>118</v>
      </c>
      <c r="M11" s="135">
        <v>5000</v>
      </c>
      <c r="N11" s="20" t="s">
        <v>13</v>
      </c>
      <c r="O11" s="136">
        <v>12</v>
      </c>
      <c r="Q11" s="1" t="s">
        <v>6</v>
      </c>
      <c r="R11" s="130">
        <f>+M11*O11</f>
        <v>60000</v>
      </c>
      <c r="S11" s="83"/>
    </row>
    <row r="12" spans="1:19" x14ac:dyDescent="0.25">
      <c r="B12" s="43"/>
      <c r="L12" s="43"/>
    </row>
    <row r="13" spans="1:19" x14ac:dyDescent="0.25">
      <c r="A13" s="1">
        <v>4</v>
      </c>
      <c r="B13" s="34" t="s">
        <v>67</v>
      </c>
      <c r="C13" s="179"/>
      <c r="D13" s="180"/>
      <c r="E13" s="179"/>
      <c r="F13" s="180"/>
      <c r="G13" s="181"/>
      <c r="H13" s="179">
        <f>+H7-H11</f>
        <v>30000</v>
      </c>
      <c r="K13" s="1">
        <v>4</v>
      </c>
      <c r="L13" s="234" t="s">
        <v>67</v>
      </c>
      <c r="M13" s="235"/>
      <c r="N13" s="236"/>
      <c r="O13" s="235"/>
      <c r="P13" s="236"/>
      <c r="Q13" s="237"/>
      <c r="R13" s="235">
        <f>+R7-R11</f>
        <v>48000</v>
      </c>
    </row>
    <row r="14" spans="1:19" x14ac:dyDescent="0.25">
      <c r="B14" s="141"/>
      <c r="C14" s="60"/>
      <c r="D14" s="142"/>
      <c r="E14" s="60"/>
      <c r="F14" s="142"/>
      <c r="G14" s="143"/>
      <c r="H14" s="60"/>
      <c r="L14" s="141"/>
      <c r="M14" s="60"/>
      <c r="N14" s="142"/>
      <c r="O14" s="60"/>
      <c r="P14" s="142"/>
      <c r="Q14" s="143"/>
      <c r="R14" s="60"/>
    </row>
    <row r="15" spans="1:19" x14ac:dyDescent="0.25">
      <c r="F15" s="20" t="s">
        <v>60</v>
      </c>
      <c r="P15" s="20" t="s">
        <v>60</v>
      </c>
    </row>
    <row r="16" spans="1:19" ht="14.1" customHeight="1" x14ac:dyDescent="0.25">
      <c r="A16" s="1">
        <v>5</v>
      </c>
      <c r="B16" s="43" t="s">
        <v>62</v>
      </c>
      <c r="C16" s="135">
        <v>1500000</v>
      </c>
      <c r="D16" s="146">
        <f>+D5</f>
        <v>0.18</v>
      </c>
      <c r="E16" s="21">
        <f>+C16*D16</f>
        <v>270000</v>
      </c>
      <c r="F16" s="132">
        <v>1.4999999999999999E-2</v>
      </c>
      <c r="G16" s="1" t="s">
        <v>6</v>
      </c>
      <c r="H16" s="21">
        <f>+C16*F16</f>
        <v>22500</v>
      </c>
      <c r="K16" s="1">
        <v>5</v>
      </c>
      <c r="L16" s="43" t="s">
        <v>119</v>
      </c>
      <c r="M16" s="145">
        <f>+M5</f>
        <v>12000000</v>
      </c>
      <c r="N16" s="146">
        <f>+N5</f>
        <v>0.18</v>
      </c>
      <c r="O16" s="21">
        <f>+M16*N16</f>
        <v>2160000</v>
      </c>
      <c r="P16" s="233">
        <v>2.2499999999999999E-2</v>
      </c>
      <c r="Q16" s="1" t="s">
        <v>6</v>
      </c>
      <c r="R16" s="21">
        <f>+O16*P16</f>
        <v>48600</v>
      </c>
    </row>
    <row r="17" spans="1:19" x14ac:dyDescent="0.25">
      <c r="A17" s="1">
        <v>6</v>
      </c>
      <c r="B17" s="43" t="s">
        <v>105</v>
      </c>
      <c r="C17" s="135">
        <v>500000</v>
      </c>
      <c r="D17" s="131">
        <v>0.15</v>
      </c>
      <c r="E17" s="21">
        <f>+C17*D17</f>
        <v>75000</v>
      </c>
      <c r="F17" s="182">
        <v>0.01</v>
      </c>
      <c r="G17" s="1" t="s">
        <v>6</v>
      </c>
      <c r="H17" s="21">
        <f>+C17*F17</f>
        <v>5000</v>
      </c>
      <c r="K17" s="1">
        <v>6</v>
      </c>
      <c r="L17" s="43"/>
      <c r="M17" s="43"/>
      <c r="N17" s="43"/>
      <c r="O17" s="43"/>
      <c r="P17" s="43"/>
      <c r="Q17" s="43"/>
    </row>
    <row r="18" spans="1:19" ht="14.1" customHeight="1" x14ac:dyDescent="0.25">
      <c r="A18" s="1">
        <v>8</v>
      </c>
      <c r="B18" s="34" t="s">
        <v>104</v>
      </c>
      <c r="C18" s="179"/>
      <c r="D18" s="180"/>
      <c r="E18" s="179"/>
      <c r="F18" s="183"/>
      <c r="G18" s="181"/>
      <c r="H18" s="179">
        <f>SUM(H16:H17)</f>
        <v>27500</v>
      </c>
      <c r="I18" s="83"/>
      <c r="K18" s="1">
        <v>8</v>
      </c>
      <c r="L18" s="34" t="s">
        <v>121</v>
      </c>
      <c r="M18" s="179"/>
      <c r="N18" s="180"/>
      <c r="O18" s="179"/>
      <c r="P18" s="183"/>
      <c r="Q18" s="181"/>
      <c r="R18" s="179">
        <f>SUM(R16:R17)</f>
        <v>48600</v>
      </c>
      <c r="S18" s="83"/>
    </row>
    <row r="19" spans="1:19" ht="14.1" customHeight="1" x14ac:dyDescent="0.25">
      <c r="A19" s="1">
        <v>9</v>
      </c>
      <c r="B19" s="84" t="s">
        <v>78</v>
      </c>
      <c r="C19" s="184">
        <f>SUM(C16:C18)</f>
        <v>2000000</v>
      </c>
      <c r="D19" s="185">
        <f>+E19/C19</f>
        <v>0.17249999999999999</v>
      </c>
      <c r="E19" s="184">
        <f>SUM(E16:E18)</f>
        <v>345000</v>
      </c>
      <c r="F19" s="186"/>
      <c r="G19" s="187"/>
      <c r="H19" s="184">
        <f>+H11+H18</f>
        <v>51500</v>
      </c>
      <c r="I19" s="193">
        <f>+H19/E19</f>
        <v>0.14927536231884059</v>
      </c>
      <c r="K19" s="1">
        <v>9</v>
      </c>
      <c r="L19" s="84" t="s">
        <v>122</v>
      </c>
      <c r="M19" s="184">
        <f>SUM(M16:M18)</f>
        <v>12000000</v>
      </c>
      <c r="N19" s="185">
        <f>+O19/M19</f>
        <v>0.18</v>
      </c>
      <c r="O19" s="184">
        <f>SUM(O16:O18)</f>
        <v>2160000</v>
      </c>
      <c r="P19" s="186"/>
      <c r="Q19" s="187"/>
      <c r="R19" s="184">
        <f>+R11+R18</f>
        <v>108600</v>
      </c>
      <c r="S19" s="193">
        <f>+R19/O19</f>
        <v>5.0277777777777775E-2</v>
      </c>
    </row>
    <row r="20" spans="1:19" x14ac:dyDescent="0.25">
      <c r="B20" s="150" t="s">
        <v>109</v>
      </c>
      <c r="D20" s="146"/>
      <c r="F20" s="21"/>
      <c r="H20" s="189">
        <f>+H7-H19</f>
        <v>2500</v>
      </c>
      <c r="L20" s="150" t="s">
        <v>109</v>
      </c>
      <c r="N20" s="146"/>
      <c r="P20" s="21"/>
      <c r="R20" s="189">
        <f>+R7-R19</f>
        <v>-600</v>
      </c>
    </row>
    <row r="21" spans="1:19" x14ac:dyDescent="0.25">
      <c r="B21" s="178"/>
      <c r="D21" s="146"/>
      <c r="F21" s="21"/>
      <c r="H21" s="1"/>
      <c r="L21" s="178"/>
      <c r="N21" s="146"/>
      <c r="P21" s="21"/>
      <c r="R21" s="1"/>
    </row>
    <row r="22" spans="1:19" x14ac:dyDescent="0.25">
      <c r="B22" s="43"/>
      <c r="C22" s="190" t="s">
        <v>100</v>
      </c>
      <c r="D22" s="190" t="s">
        <v>68</v>
      </c>
      <c r="E22" s="190" t="s">
        <v>69</v>
      </c>
      <c r="F22" s="21" t="s">
        <v>70</v>
      </c>
      <c r="H22" s="1"/>
      <c r="L22" s="178"/>
      <c r="N22" s="146"/>
      <c r="P22" s="21"/>
      <c r="R22" s="1"/>
    </row>
    <row r="23" spans="1:19" ht="14.1" customHeight="1" x14ac:dyDescent="0.25">
      <c r="A23" s="1">
        <v>10</v>
      </c>
      <c r="B23" s="43" t="s">
        <v>106</v>
      </c>
      <c r="C23" s="135">
        <v>1000000</v>
      </c>
      <c r="D23" s="191">
        <v>0.02</v>
      </c>
      <c r="E23" s="21">
        <f>+C23*D23</f>
        <v>20000</v>
      </c>
      <c r="F23" s="191">
        <v>0.3</v>
      </c>
      <c r="G23" s="1" t="s">
        <v>6</v>
      </c>
      <c r="H23" s="21">
        <f>+E23*F23</f>
        <v>6000</v>
      </c>
      <c r="L23" s="280" t="s">
        <v>182</v>
      </c>
      <c r="N23" s="146"/>
      <c r="P23" s="21"/>
      <c r="R23" s="1"/>
    </row>
    <row r="24" spans="1:19" ht="14.1" customHeight="1" x14ac:dyDescent="0.25">
      <c r="A24" s="1">
        <v>11</v>
      </c>
      <c r="B24" s="192" t="s">
        <v>8</v>
      </c>
      <c r="C24" s="184">
        <f>+C19</f>
        <v>2000000</v>
      </c>
      <c r="D24" s="186">
        <f>+E24/C24</f>
        <v>0.1825</v>
      </c>
      <c r="E24" s="184">
        <f>SUM(E19:E23)</f>
        <v>365000</v>
      </c>
      <c r="F24" s="186"/>
      <c r="G24" s="187"/>
      <c r="H24" s="78">
        <f>+H19+H23</f>
        <v>57500</v>
      </c>
      <c r="I24" s="188">
        <f>+H24/E24</f>
        <v>0.15753424657534246</v>
      </c>
      <c r="K24" s="1" t="s">
        <v>184</v>
      </c>
      <c r="L24" s="9" t="s">
        <v>183</v>
      </c>
      <c r="N24" s="146"/>
      <c r="P24" s="21"/>
      <c r="R24" s="1"/>
    </row>
    <row r="25" spans="1:19" ht="14.1" customHeight="1" x14ac:dyDescent="0.25">
      <c r="B25" s="150" t="s">
        <v>109</v>
      </c>
      <c r="C25" s="165"/>
      <c r="D25" s="156"/>
      <c r="E25" s="165"/>
      <c r="F25" s="156"/>
      <c r="G25" s="143"/>
      <c r="H25" s="189">
        <f>+H7-H24</f>
        <v>-3500</v>
      </c>
      <c r="K25" s="1" t="s">
        <v>184</v>
      </c>
      <c r="L25" s="9" t="s">
        <v>185</v>
      </c>
      <c r="N25" s="146"/>
      <c r="P25" s="21"/>
      <c r="R25" s="1"/>
    </row>
    <row r="26" spans="1:19" x14ac:dyDescent="0.25">
      <c r="K26" s="1" t="s">
        <v>184</v>
      </c>
      <c r="L26" s="9" t="s">
        <v>186</v>
      </c>
      <c r="N26" s="146"/>
      <c r="P26" s="21"/>
      <c r="R26" s="1"/>
    </row>
    <row r="27" spans="1:19" x14ac:dyDescent="0.25">
      <c r="I27" s="83"/>
      <c r="L27" s="178"/>
      <c r="N27" s="146"/>
      <c r="P27" s="21"/>
      <c r="R27" s="1"/>
    </row>
    <row r="28" spans="1:19" x14ac:dyDescent="0.25">
      <c r="B28" s="43" t="s">
        <v>102</v>
      </c>
    </row>
    <row r="29" spans="1:19" x14ac:dyDescent="0.25">
      <c r="B29" s="65" t="s">
        <v>17</v>
      </c>
      <c r="C29" s="194">
        <v>290</v>
      </c>
      <c r="D29" s="195" t="s">
        <v>16</v>
      </c>
      <c r="E29" s="196">
        <v>52</v>
      </c>
      <c r="F29" s="197"/>
      <c r="G29" s="198" t="s">
        <v>6</v>
      </c>
      <c r="H29" s="194">
        <f>+E29*C29</f>
        <v>15080</v>
      </c>
    </row>
    <row r="30" spans="1:19" x14ac:dyDescent="0.25">
      <c r="B30" s="16" t="s">
        <v>18</v>
      </c>
      <c r="C30" s="199" t="s">
        <v>19</v>
      </c>
      <c r="D30" s="197" t="s">
        <v>13</v>
      </c>
      <c r="E30" s="194" t="s">
        <v>20</v>
      </c>
      <c r="F30" s="197"/>
      <c r="G30" s="200"/>
      <c r="H30" s="194"/>
    </row>
    <row r="31" spans="1:19" x14ac:dyDescent="0.25">
      <c r="B31" s="16" t="s">
        <v>22</v>
      </c>
      <c r="C31" s="199" t="s">
        <v>23</v>
      </c>
      <c r="D31" s="197" t="s">
        <v>13</v>
      </c>
      <c r="E31" s="194" t="s">
        <v>20</v>
      </c>
      <c r="F31" s="197"/>
      <c r="G31" s="200"/>
      <c r="H31" s="194"/>
    </row>
    <row r="32" spans="1:19" x14ac:dyDescent="0.25">
      <c r="B32" s="25" t="s">
        <v>63</v>
      </c>
      <c r="C32" s="131">
        <v>0.2</v>
      </c>
      <c r="D32" s="131" t="s">
        <v>13</v>
      </c>
      <c r="E32" s="135" t="s">
        <v>21</v>
      </c>
      <c r="F32" s="131"/>
    </row>
    <row r="33" spans="2:6" x14ac:dyDescent="0.25">
      <c r="B33" s="25" t="s">
        <v>24</v>
      </c>
      <c r="C33" s="131">
        <v>0.1</v>
      </c>
      <c r="D33" s="131" t="s">
        <v>13</v>
      </c>
      <c r="E33" s="135" t="s">
        <v>21</v>
      </c>
      <c r="F33" s="131"/>
    </row>
    <row r="34" spans="2:6" ht="14.4" thickBot="1" x14ac:dyDescent="0.3">
      <c r="B34" s="201" t="s">
        <v>64</v>
      </c>
      <c r="C34" s="202">
        <v>0.3</v>
      </c>
    </row>
    <row r="35" spans="2:6" ht="14.4" thickTop="1" x14ac:dyDescent="0.25"/>
    <row r="36" spans="2:6" x14ac:dyDescent="0.25">
      <c r="B36" s="43" t="s">
        <v>120</v>
      </c>
    </row>
  </sheetData>
  <mergeCells count="2">
    <mergeCell ref="B1:I1"/>
    <mergeCell ref="L1:S1"/>
  </mergeCells>
  <pageMargins left="0.7" right="0.7" top="0.75" bottom="0.75" header="0.3" footer="0.3"/>
  <pageSetup scale="95" fitToHeight="0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1"/>
  <sheetViews>
    <sheetView topLeftCell="E1" zoomScale="90" zoomScaleNormal="90" workbookViewId="0">
      <selection activeCell="P28" sqref="P28"/>
    </sheetView>
  </sheetViews>
  <sheetFormatPr defaultColWidth="8.88671875" defaultRowHeight="13.8" x14ac:dyDescent="0.25"/>
  <cols>
    <col min="1" max="1" width="4.88671875" style="1" customWidth="1"/>
    <col min="2" max="2" width="32.109375" style="17" customWidth="1"/>
    <col min="3" max="3" width="12.88671875" style="21" customWidth="1"/>
    <col min="4" max="4" width="12.109375" style="20" bestFit="1" customWidth="1"/>
    <col min="5" max="5" width="12.5546875" style="21" customWidth="1"/>
    <col min="6" max="6" width="8.6640625" style="20"/>
    <col min="7" max="7" width="4.5546875" style="1" customWidth="1"/>
    <col min="8" max="8" width="20.5546875" style="21" bestFit="1" customWidth="1"/>
    <col min="9" max="9" width="11.109375" style="9" bestFit="1" customWidth="1"/>
    <col min="10" max="10" width="8.88671875" style="9"/>
    <col min="11" max="11" width="4.6640625" style="1" customWidth="1"/>
    <col min="12" max="12" width="36" style="17" customWidth="1"/>
    <col min="13" max="13" width="15.44140625" style="21" bestFit="1" customWidth="1"/>
    <col min="14" max="14" width="10.6640625" style="20" customWidth="1"/>
    <col min="15" max="15" width="12.33203125" style="21" customWidth="1"/>
    <col min="16" max="16" width="15.88671875" style="20" bestFit="1" customWidth="1"/>
    <col min="17" max="17" width="4.5546875" style="1" customWidth="1"/>
    <col min="18" max="18" width="20.5546875" style="21" bestFit="1" customWidth="1"/>
    <col min="19" max="19" width="13.6640625" style="9" bestFit="1" customWidth="1"/>
    <col min="20" max="16384" width="8.88671875" style="9"/>
  </cols>
  <sheetData>
    <row r="1" spans="1:19" ht="21" x14ac:dyDescent="0.4">
      <c r="B1" s="11"/>
      <c r="C1" s="220" t="s">
        <v>76</v>
      </c>
      <c r="D1" s="3"/>
      <c r="E1" s="6"/>
      <c r="F1" s="3"/>
      <c r="G1" s="5"/>
      <c r="H1" s="6"/>
      <c r="I1" s="7"/>
      <c r="L1" s="262" t="s">
        <v>123</v>
      </c>
      <c r="M1" s="262"/>
      <c r="N1" s="262"/>
      <c r="O1" s="262"/>
      <c r="P1" s="262"/>
      <c r="Q1" s="262"/>
      <c r="R1" s="262"/>
      <c r="S1" s="262"/>
    </row>
    <row r="2" spans="1:19" s="17" customFormat="1" ht="41.4" x14ac:dyDescent="0.25">
      <c r="A2" s="1" t="s">
        <v>112</v>
      </c>
      <c r="B2" s="2" t="s">
        <v>0</v>
      </c>
      <c r="C2" s="128" t="s">
        <v>1</v>
      </c>
      <c r="D2" s="4" t="s">
        <v>2</v>
      </c>
      <c r="E2" s="128" t="s">
        <v>3</v>
      </c>
      <c r="F2" s="4" t="s">
        <v>4</v>
      </c>
      <c r="G2" s="11"/>
      <c r="H2" s="128" t="s">
        <v>5</v>
      </c>
      <c r="I2" s="16" t="s">
        <v>12</v>
      </c>
      <c r="K2" s="1" t="s">
        <v>112</v>
      </c>
      <c r="L2" s="226" t="s">
        <v>0</v>
      </c>
      <c r="M2" s="227" t="s">
        <v>71</v>
      </c>
      <c r="N2" s="228" t="s">
        <v>2</v>
      </c>
      <c r="O2" s="229" t="s">
        <v>3</v>
      </c>
      <c r="P2" s="230" t="s">
        <v>83</v>
      </c>
      <c r="Q2" s="231"/>
      <c r="R2" s="229" t="s">
        <v>5</v>
      </c>
      <c r="S2" s="232" t="s">
        <v>12</v>
      </c>
    </row>
    <row r="3" spans="1:19" x14ac:dyDescent="0.25">
      <c r="B3" s="18" t="s">
        <v>15</v>
      </c>
      <c r="C3" s="19"/>
      <c r="L3" s="18" t="s">
        <v>15</v>
      </c>
      <c r="M3" s="19"/>
    </row>
    <row r="4" spans="1:19" x14ac:dyDescent="0.25">
      <c r="B4" s="43"/>
      <c r="C4" s="43"/>
      <c r="D4" s="43"/>
      <c r="E4" s="43"/>
      <c r="F4" s="43"/>
      <c r="G4" s="43"/>
      <c r="H4" s="43"/>
      <c r="I4" s="129"/>
      <c r="L4" s="43"/>
      <c r="M4" s="43"/>
      <c r="N4" s="43"/>
      <c r="O4" s="43"/>
      <c r="P4" s="43"/>
      <c r="Q4" s="43"/>
      <c r="R4" s="43"/>
      <c r="S4" s="129"/>
    </row>
    <row r="6" spans="1:19" ht="14.1" customHeight="1" x14ac:dyDescent="0.25">
      <c r="A6" s="1">
        <v>1</v>
      </c>
      <c r="B6" s="43" t="s">
        <v>29</v>
      </c>
      <c r="C6" s="130">
        <v>400000</v>
      </c>
      <c r="D6" s="131">
        <v>0.3</v>
      </c>
      <c r="E6" s="21">
        <f>+C6*D6</f>
        <v>120000</v>
      </c>
      <c r="F6" s="132">
        <v>0.28000000000000003</v>
      </c>
      <c r="G6" s="1" t="s">
        <v>6</v>
      </c>
      <c r="H6" s="21">
        <f>+E6*F6</f>
        <v>33600</v>
      </c>
      <c r="I6" s="129" t="s">
        <v>27</v>
      </c>
      <c r="K6" s="1">
        <v>1</v>
      </c>
      <c r="L6" s="43" t="s">
        <v>29</v>
      </c>
      <c r="M6" s="130">
        <v>1000000</v>
      </c>
      <c r="N6" s="131">
        <v>0.3</v>
      </c>
      <c r="O6" s="21">
        <f>+M6*N6</f>
        <v>300000</v>
      </c>
      <c r="P6" s="132">
        <v>0.3</v>
      </c>
      <c r="Q6" s="1" t="s">
        <v>6</v>
      </c>
      <c r="R6" s="21">
        <f>+O6*P6</f>
        <v>90000</v>
      </c>
      <c r="S6" s="129" t="s">
        <v>27</v>
      </c>
    </row>
    <row r="8" spans="1:19" ht="14.4" thickBot="1" x14ac:dyDescent="0.3">
      <c r="A8" s="1">
        <v>2</v>
      </c>
      <c r="B8" s="50" t="s">
        <v>14</v>
      </c>
      <c r="C8" s="52">
        <f>SUM(C6:C7)</f>
        <v>400000</v>
      </c>
      <c r="D8" s="53"/>
      <c r="E8" s="52">
        <f>SUM(E6:E7)</f>
        <v>120000</v>
      </c>
      <c r="F8" s="53"/>
      <c r="G8" s="133"/>
      <c r="H8" s="57">
        <f>+H6</f>
        <v>33600</v>
      </c>
      <c r="I8" s="126">
        <f>+H8/$E$6</f>
        <v>0.28000000000000003</v>
      </c>
      <c r="K8" s="1">
        <v>2</v>
      </c>
      <c r="L8" s="50" t="s">
        <v>14</v>
      </c>
      <c r="M8" s="52">
        <f>SUM(M6:M7)</f>
        <v>1000000</v>
      </c>
      <c r="N8" s="53"/>
      <c r="O8" s="52">
        <f>SUM(O6:O7)</f>
        <v>300000</v>
      </c>
      <c r="P8" s="53"/>
      <c r="Q8" s="133"/>
      <c r="R8" s="57">
        <f>+R6</f>
        <v>90000</v>
      </c>
      <c r="S8" s="126">
        <f>+R8/$O$6</f>
        <v>0.3</v>
      </c>
    </row>
    <row r="9" spans="1:19" ht="14.4" thickTop="1" x14ac:dyDescent="0.25"/>
    <row r="10" spans="1:19" x14ac:dyDescent="0.25">
      <c r="H10" s="60"/>
      <c r="R10" s="60"/>
    </row>
    <row r="11" spans="1:19" x14ac:dyDescent="0.25">
      <c r="B11" s="61" t="s">
        <v>11</v>
      </c>
      <c r="C11" s="21" t="s">
        <v>33</v>
      </c>
      <c r="E11" s="21" t="s">
        <v>34</v>
      </c>
      <c r="H11" s="134" t="s">
        <v>35</v>
      </c>
      <c r="I11" s="83"/>
      <c r="L11" s="61" t="s">
        <v>11</v>
      </c>
      <c r="M11" s="21" t="s">
        <v>33</v>
      </c>
      <c r="O11" s="21" t="s">
        <v>34</v>
      </c>
      <c r="R11" s="134" t="s">
        <v>35</v>
      </c>
      <c r="S11" s="83"/>
    </row>
    <row r="12" spans="1:19" x14ac:dyDescent="0.25">
      <c r="A12" s="1">
        <v>3</v>
      </c>
      <c r="B12" s="43" t="s">
        <v>32</v>
      </c>
      <c r="C12" s="135">
        <v>2500</v>
      </c>
      <c r="D12" s="20" t="s">
        <v>13</v>
      </c>
      <c r="E12" s="136">
        <v>12</v>
      </c>
      <c r="G12" s="1" t="s">
        <v>6</v>
      </c>
      <c r="H12" s="130">
        <f>+C12*E12</f>
        <v>30000</v>
      </c>
      <c r="K12" s="1">
        <v>3</v>
      </c>
      <c r="L12" s="43" t="s">
        <v>32</v>
      </c>
      <c r="M12" s="135">
        <v>3400</v>
      </c>
      <c r="N12" s="20" t="s">
        <v>13</v>
      </c>
      <c r="O12" s="136">
        <v>12</v>
      </c>
      <c r="Q12" s="1" t="s">
        <v>6</v>
      </c>
      <c r="R12" s="130">
        <f>+M12*O12</f>
        <v>40800</v>
      </c>
    </row>
    <row r="13" spans="1:19" x14ac:dyDescent="0.25">
      <c r="A13" s="1">
        <v>4</v>
      </c>
      <c r="B13" s="17" t="s">
        <v>30</v>
      </c>
      <c r="C13" s="135"/>
      <c r="D13" s="20" t="s">
        <v>13</v>
      </c>
      <c r="E13" s="136">
        <v>12</v>
      </c>
      <c r="H13" s="130">
        <f t="shared" ref="H13:H14" si="0">+C13*E13</f>
        <v>0</v>
      </c>
      <c r="K13" s="1">
        <v>4</v>
      </c>
      <c r="L13" s="17" t="s">
        <v>30</v>
      </c>
      <c r="M13" s="135">
        <v>2400</v>
      </c>
      <c r="N13" s="20" t="s">
        <v>13</v>
      </c>
      <c r="O13" s="136">
        <v>12</v>
      </c>
      <c r="R13" s="130">
        <f t="shared" ref="R13:R14" si="1">+M13*O13</f>
        <v>28800</v>
      </c>
    </row>
    <row r="14" spans="1:19" x14ac:dyDescent="0.25">
      <c r="A14" s="1">
        <v>5</v>
      </c>
      <c r="B14" s="17" t="s">
        <v>31</v>
      </c>
      <c r="C14" s="135"/>
      <c r="D14" s="20" t="s">
        <v>13</v>
      </c>
      <c r="E14" s="136">
        <v>5</v>
      </c>
      <c r="H14" s="130">
        <f t="shared" si="0"/>
        <v>0</v>
      </c>
      <c r="K14" s="1">
        <v>5</v>
      </c>
      <c r="L14" s="17" t="s">
        <v>31</v>
      </c>
      <c r="M14" s="135">
        <v>1800</v>
      </c>
      <c r="N14" s="20" t="s">
        <v>13</v>
      </c>
      <c r="O14" s="136">
        <v>6</v>
      </c>
      <c r="R14" s="130">
        <f t="shared" si="1"/>
        <v>10800</v>
      </c>
    </row>
    <row r="15" spans="1:19" x14ac:dyDescent="0.25">
      <c r="A15" s="1">
        <v>6</v>
      </c>
      <c r="B15" s="137" t="s">
        <v>40</v>
      </c>
      <c r="C15" s="138"/>
      <c r="D15" s="139"/>
      <c r="E15" s="138"/>
      <c r="F15" s="139"/>
      <c r="G15" s="140"/>
      <c r="H15" s="138">
        <f>SUM(H12:H14)</f>
        <v>30000</v>
      </c>
      <c r="I15" s="126">
        <f>+H15/E8</f>
        <v>0.25</v>
      </c>
      <c r="K15" s="1">
        <v>6</v>
      </c>
      <c r="L15" s="137" t="s">
        <v>40</v>
      </c>
      <c r="M15" s="138"/>
      <c r="N15" s="292" t="s">
        <v>161</v>
      </c>
      <c r="O15" s="291">
        <f>SUM(O12:O14)/12</f>
        <v>2.5</v>
      </c>
      <c r="P15" s="139"/>
      <c r="Q15" s="140"/>
      <c r="R15" s="138">
        <f>SUM(R12:R14)</f>
        <v>80400</v>
      </c>
      <c r="S15" s="126">
        <f>+R15/O8</f>
        <v>0.26800000000000002</v>
      </c>
    </row>
    <row r="16" spans="1:19" x14ac:dyDescent="0.25">
      <c r="B16" s="141"/>
      <c r="C16" s="60"/>
      <c r="D16" s="142"/>
      <c r="E16" s="60"/>
      <c r="F16" s="142"/>
      <c r="G16" s="143"/>
      <c r="H16" s="60"/>
      <c r="L16" s="234" t="s">
        <v>67</v>
      </c>
      <c r="M16" s="235"/>
      <c r="N16" s="236"/>
      <c r="O16" s="235"/>
      <c r="P16" s="236"/>
      <c r="Q16" s="237"/>
      <c r="R16" s="235">
        <f>+R8-R15</f>
        <v>9600</v>
      </c>
    </row>
    <row r="17" spans="1:19" x14ac:dyDescent="0.25">
      <c r="B17" s="141"/>
      <c r="C17" s="60"/>
      <c r="D17" s="142"/>
      <c r="E17" s="60"/>
      <c r="F17" s="142"/>
      <c r="G17" s="143"/>
      <c r="H17" s="60"/>
      <c r="L17" s="141"/>
      <c r="M17" s="60"/>
      <c r="N17" s="142"/>
      <c r="O17" s="60"/>
      <c r="P17" s="142"/>
      <c r="Q17" s="143"/>
      <c r="R17" s="60"/>
    </row>
    <row r="18" spans="1:19" x14ac:dyDescent="0.25">
      <c r="B18" s="17" t="s">
        <v>39</v>
      </c>
      <c r="C18" s="134" t="s">
        <v>52</v>
      </c>
      <c r="D18" s="144"/>
      <c r="F18" s="134" t="s">
        <v>53</v>
      </c>
      <c r="L18" s="17" t="s">
        <v>39</v>
      </c>
      <c r="M18" s="134" t="s">
        <v>52</v>
      </c>
      <c r="N18" s="144"/>
      <c r="P18" s="134" t="s">
        <v>53</v>
      </c>
    </row>
    <row r="19" spans="1:19" ht="14.1" customHeight="1" x14ac:dyDescent="0.25">
      <c r="A19" s="1">
        <v>7</v>
      </c>
      <c r="B19" s="17" t="s">
        <v>26</v>
      </c>
      <c r="C19" s="145">
        <f>+C6</f>
        <v>400000</v>
      </c>
      <c r="D19" s="146"/>
      <c r="F19" s="132">
        <v>0.01</v>
      </c>
      <c r="G19" s="1" t="s">
        <v>6</v>
      </c>
      <c r="H19" s="21">
        <f>+C19*F19</f>
        <v>4000</v>
      </c>
      <c r="I19" s="147">
        <f>+H19/E$8</f>
        <v>3.3333333333333333E-2</v>
      </c>
      <c r="K19" s="1">
        <v>7</v>
      </c>
      <c r="L19" s="17" t="s">
        <v>26</v>
      </c>
      <c r="M19" s="145">
        <f>+M6</f>
        <v>1000000</v>
      </c>
      <c r="N19" s="146"/>
      <c r="P19" s="132">
        <v>0.01</v>
      </c>
      <c r="Q19" s="1" t="s">
        <v>6</v>
      </c>
      <c r="R19" s="21">
        <f>+M19*P19</f>
        <v>10000</v>
      </c>
      <c r="S19" s="147">
        <f>+R19/O$8</f>
        <v>3.3333333333333333E-2</v>
      </c>
    </row>
    <row r="20" spans="1:19" ht="14.1" customHeight="1" thickBot="1" x14ac:dyDescent="0.3">
      <c r="A20" s="1">
        <v>8</v>
      </c>
      <c r="B20" s="93" t="s">
        <v>28</v>
      </c>
      <c r="C20" s="95"/>
      <c r="D20" s="148"/>
      <c r="E20" s="95"/>
      <c r="F20" s="148"/>
      <c r="G20" s="149"/>
      <c r="H20" s="95">
        <f>SUM(H14:H19)</f>
        <v>34000</v>
      </c>
      <c r="I20" s="148">
        <f>+H20/E$8</f>
        <v>0.28333333333333333</v>
      </c>
      <c r="K20" s="1">
        <v>8</v>
      </c>
      <c r="L20" s="93" t="s">
        <v>28</v>
      </c>
      <c r="M20" s="95"/>
      <c r="N20" s="148"/>
      <c r="O20" s="95"/>
      <c r="P20" s="148"/>
      <c r="Q20" s="149"/>
      <c r="R20" s="95">
        <f>+R15+R19</f>
        <v>90400</v>
      </c>
      <c r="S20" s="148">
        <f>+R20/O$8</f>
        <v>0.30133333333333334</v>
      </c>
    </row>
    <row r="21" spans="1:19" ht="14.1" customHeight="1" thickTop="1" x14ac:dyDescent="0.25">
      <c r="B21" s="150" t="s">
        <v>109</v>
      </c>
      <c r="C21" s="145"/>
      <c r="D21" s="146"/>
      <c r="F21" s="21"/>
      <c r="H21" s="151">
        <f>+H8-H20</f>
        <v>-400</v>
      </c>
      <c r="I21" s="152"/>
      <c r="L21" s="150" t="s">
        <v>109</v>
      </c>
      <c r="M21" s="145"/>
      <c r="N21" s="146"/>
      <c r="P21" s="21"/>
      <c r="R21" s="151">
        <f>+R8-R20</f>
        <v>-400</v>
      </c>
      <c r="S21" s="152"/>
    </row>
    <row r="22" spans="1:19" s="48" customFormat="1" ht="14.1" customHeight="1" x14ac:dyDescent="0.25">
      <c r="A22" s="153"/>
      <c r="B22" s="154"/>
      <c r="C22" s="145"/>
      <c r="D22" s="146"/>
      <c r="E22" s="145"/>
      <c r="F22" s="145"/>
      <c r="G22" s="153"/>
      <c r="H22" s="155"/>
      <c r="I22" s="156"/>
      <c r="K22" s="153"/>
      <c r="L22" s="154"/>
      <c r="M22" s="145"/>
      <c r="N22" s="146"/>
      <c r="O22" s="145"/>
      <c r="P22" s="145"/>
      <c r="Q22" s="153"/>
      <c r="R22" s="155"/>
      <c r="S22" s="156"/>
    </row>
    <row r="23" spans="1:19" s="48" customFormat="1" x14ac:dyDescent="0.25">
      <c r="A23" s="153"/>
      <c r="B23" s="157" t="s">
        <v>38</v>
      </c>
      <c r="C23" s="158"/>
      <c r="D23" s="159"/>
      <c r="E23" s="158"/>
      <c r="F23" s="160"/>
      <c r="G23" s="161"/>
      <c r="H23" s="158"/>
      <c r="I23" s="162"/>
      <c r="K23" s="153"/>
      <c r="L23" s="157" t="s">
        <v>38</v>
      </c>
      <c r="M23" s="158"/>
      <c r="N23" s="159"/>
      <c r="O23" s="158"/>
      <c r="P23" s="160"/>
      <c r="Q23" s="161"/>
      <c r="R23" s="158"/>
      <c r="S23" s="162"/>
    </row>
    <row r="24" spans="1:19" s="48" customFormat="1" x14ac:dyDescent="0.25">
      <c r="A24" s="153">
        <v>9</v>
      </c>
      <c r="B24" s="157" t="s">
        <v>37</v>
      </c>
      <c r="C24" s="163">
        <v>0.03</v>
      </c>
      <c r="D24" s="153" t="s">
        <v>13</v>
      </c>
      <c r="E24" s="135">
        <v>40000</v>
      </c>
      <c r="F24" s="160"/>
      <c r="G24" s="164" t="s">
        <v>6</v>
      </c>
      <c r="H24" s="165">
        <f>+E24*C24</f>
        <v>1200</v>
      </c>
      <c r="I24" s="162"/>
      <c r="K24" s="153">
        <v>9</v>
      </c>
      <c r="L24" s="157" t="s">
        <v>37</v>
      </c>
      <c r="M24" s="163">
        <v>0.03</v>
      </c>
      <c r="N24" s="153" t="s">
        <v>13</v>
      </c>
      <c r="O24" s="135">
        <v>80000</v>
      </c>
      <c r="P24" s="160"/>
      <c r="Q24" s="164" t="s">
        <v>6</v>
      </c>
      <c r="R24" s="165">
        <f>+O24*M24</f>
        <v>2400</v>
      </c>
      <c r="S24" s="162"/>
    </row>
    <row r="25" spans="1:19" ht="14.1" customHeight="1" thickBot="1" x14ac:dyDescent="0.3">
      <c r="A25" s="1">
        <v>10</v>
      </c>
      <c r="B25" s="93" t="s">
        <v>28</v>
      </c>
      <c r="C25" s="95"/>
      <c r="D25" s="148"/>
      <c r="E25" s="95"/>
      <c r="F25" s="148"/>
      <c r="G25" s="149"/>
      <c r="H25" s="95">
        <f>+H20+H24</f>
        <v>35200</v>
      </c>
      <c r="I25" s="148">
        <f>+H25/E$8</f>
        <v>0.29333333333333333</v>
      </c>
      <c r="K25" s="1">
        <v>10</v>
      </c>
      <c r="L25" s="93" t="s">
        <v>28</v>
      </c>
      <c r="M25" s="95"/>
      <c r="N25" s="148"/>
      <c r="O25" s="95"/>
      <c r="P25" s="148"/>
      <c r="Q25" s="149"/>
      <c r="R25" s="95">
        <f>+R20+R24</f>
        <v>92800</v>
      </c>
      <c r="S25" s="148">
        <f>+R25/O$8</f>
        <v>0.30933333333333335</v>
      </c>
    </row>
    <row r="26" spans="1:19" s="48" customFormat="1" ht="14.4" thickTop="1" x14ac:dyDescent="0.25">
      <c r="A26" s="153"/>
      <c r="B26" s="166"/>
      <c r="C26" s="145"/>
      <c r="D26" s="146"/>
      <c r="E26" s="145"/>
      <c r="F26" s="146"/>
      <c r="G26" s="153"/>
      <c r="H26" s="155"/>
      <c r="K26" s="153"/>
      <c r="L26" s="166"/>
      <c r="M26" s="145"/>
      <c r="N26" s="146"/>
      <c r="O26" s="145"/>
      <c r="P26" s="146"/>
      <c r="Q26" s="153"/>
      <c r="R26" s="155"/>
    </row>
    <row r="28" spans="1:19" x14ac:dyDescent="0.25">
      <c r="B28" s="16" t="s">
        <v>9</v>
      </c>
      <c r="E28" s="33"/>
      <c r="L28" s="16" t="s">
        <v>125</v>
      </c>
      <c r="O28" s="33"/>
    </row>
    <row r="29" spans="1:19" x14ac:dyDescent="0.25">
      <c r="B29" s="43" t="s">
        <v>29</v>
      </c>
      <c r="I29" s="83"/>
      <c r="L29" s="43" t="s">
        <v>29</v>
      </c>
      <c r="S29" s="83"/>
    </row>
    <row r="30" spans="1:19" x14ac:dyDescent="0.25">
      <c r="A30" s="1">
        <v>11</v>
      </c>
      <c r="B30" s="17" t="s">
        <v>7</v>
      </c>
      <c r="H30" s="21">
        <f>+H15</f>
        <v>30000</v>
      </c>
      <c r="I30" s="83"/>
      <c r="K30" s="1">
        <v>11</v>
      </c>
      <c r="L30" s="17" t="s">
        <v>7</v>
      </c>
      <c r="M30" s="21" t="s">
        <v>126</v>
      </c>
      <c r="R30" s="21">
        <f>+R12</f>
        <v>40800</v>
      </c>
      <c r="S30" s="83"/>
    </row>
    <row r="31" spans="1:19" x14ac:dyDescent="0.25">
      <c r="A31" s="1">
        <v>12</v>
      </c>
      <c r="B31" s="43" t="s">
        <v>74</v>
      </c>
      <c r="H31" s="21">
        <f>+H19</f>
        <v>4000</v>
      </c>
      <c r="I31" s="83"/>
      <c r="K31" s="1">
        <v>12</v>
      </c>
      <c r="L31" s="43" t="s">
        <v>74</v>
      </c>
      <c r="M31" s="21" t="s">
        <v>127</v>
      </c>
      <c r="N31" s="20" t="s">
        <v>13</v>
      </c>
      <c r="P31" s="131">
        <v>0.4</v>
      </c>
      <c r="R31" s="21">
        <f>+R19*P31</f>
        <v>4000</v>
      </c>
      <c r="S31" s="83"/>
    </row>
    <row r="32" spans="1:19" x14ac:dyDescent="0.25">
      <c r="A32" s="1">
        <v>13</v>
      </c>
      <c r="B32" s="43" t="s">
        <v>75</v>
      </c>
      <c r="H32" s="21">
        <f>+H24</f>
        <v>1200</v>
      </c>
      <c r="I32" s="83"/>
      <c r="K32" s="1">
        <v>13</v>
      </c>
      <c r="L32" s="43" t="s">
        <v>75</v>
      </c>
      <c r="M32" s="21" t="s">
        <v>128</v>
      </c>
      <c r="R32" s="21">
        <f>+R24</f>
        <v>2400</v>
      </c>
      <c r="S32" s="83"/>
    </row>
    <row r="33" spans="1:19" ht="14.4" thickBot="1" x14ac:dyDescent="0.3">
      <c r="A33" s="1">
        <v>14</v>
      </c>
      <c r="B33" s="167" t="s">
        <v>10</v>
      </c>
      <c r="C33" s="168"/>
      <c r="D33" s="169"/>
      <c r="E33" s="168"/>
      <c r="F33" s="170"/>
      <c r="G33" s="171"/>
      <c r="H33" s="168">
        <f>SUM(H30:H32)</f>
        <v>35200</v>
      </c>
      <c r="I33" s="148">
        <f>+H33/E8</f>
        <v>0.29333333333333333</v>
      </c>
      <c r="K33" s="1">
        <v>14</v>
      </c>
      <c r="L33" s="167" t="s">
        <v>129</v>
      </c>
      <c r="M33" s="168"/>
      <c r="N33" s="169"/>
      <c r="O33" s="168"/>
      <c r="P33" s="170"/>
      <c r="Q33" s="171"/>
      <c r="R33" s="168">
        <f>SUM(R30:R32)</f>
        <v>47200</v>
      </c>
      <c r="S33" s="148">
        <f>+R33/O8</f>
        <v>0.15733333333333333</v>
      </c>
    </row>
    <row r="34" spans="1:19" s="48" customFormat="1" ht="14.4" thickTop="1" x14ac:dyDescent="0.25">
      <c r="A34" s="153"/>
      <c r="B34" s="157"/>
      <c r="C34" s="158"/>
      <c r="D34" s="159"/>
      <c r="E34" s="158"/>
      <c r="F34" s="160"/>
      <c r="G34" s="161"/>
      <c r="H34" s="158"/>
      <c r="I34" s="162"/>
      <c r="K34" s="153"/>
      <c r="L34" s="157"/>
      <c r="M34" s="158"/>
      <c r="N34" s="159"/>
      <c r="O34" s="158"/>
      <c r="P34" s="160"/>
      <c r="Q34" s="161"/>
      <c r="R34" s="158"/>
      <c r="S34" s="162"/>
    </row>
    <row r="35" spans="1:19" s="48" customFormat="1" x14ac:dyDescent="0.25">
      <c r="A35" s="153"/>
      <c r="B35" s="166"/>
      <c r="C35" s="145"/>
      <c r="D35" s="146"/>
      <c r="E35" s="145"/>
      <c r="F35" s="146"/>
      <c r="G35" s="153"/>
      <c r="H35" s="165"/>
      <c r="K35" s="153"/>
      <c r="L35" s="166"/>
      <c r="M35" s="145"/>
      <c r="N35" s="146"/>
      <c r="O35" s="145"/>
      <c r="P35" s="146"/>
      <c r="Q35" s="153"/>
      <c r="R35" s="165"/>
    </row>
    <row r="36" spans="1:19" x14ac:dyDescent="0.25">
      <c r="B36" s="17" t="s">
        <v>25</v>
      </c>
      <c r="L36" s="280" t="s">
        <v>182</v>
      </c>
    </row>
    <row r="37" spans="1:19" x14ac:dyDescent="0.25">
      <c r="B37" s="43" t="s">
        <v>99</v>
      </c>
      <c r="D37" s="144"/>
      <c r="E37" s="172"/>
      <c r="G37" s="173"/>
      <c r="K37" s="1" t="s">
        <v>184</v>
      </c>
      <c r="L37" s="9" t="s">
        <v>183</v>
      </c>
      <c r="N37" s="144"/>
      <c r="O37" s="172"/>
      <c r="Q37" s="173"/>
    </row>
    <row r="38" spans="1:19" x14ac:dyDescent="0.25">
      <c r="B38" s="17" t="s">
        <v>36</v>
      </c>
      <c r="C38" s="134"/>
      <c r="K38" s="1" t="s">
        <v>184</v>
      </c>
      <c r="L38" s="9" t="s">
        <v>185</v>
      </c>
      <c r="M38" s="134"/>
    </row>
    <row r="39" spans="1:19" x14ac:dyDescent="0.25">
      <c r="C39" s="134"/>
      <c r="K39" s="1" t="s">
        <v>184</v>
      </c>
      <c r="L39" s="9" t="s">
        <v>186</v>
      </c>
      <c r="M39" s="134"/>
    </row>
    <row r="40" spans="1:19" x14ac:dyDescent="0.25">
      <c r="B40" s="43"/>
      <c r="C40" s="20"/>
      <c r="L40" s="43"/>
      <c r="M40" s="20"/>
    </row>
    <row r="41" spans="1:19" x14ac:dyDescent="0.25">
      <c r="B41" s="43"/>
      <c r="C41" s="20"/>
    </row>
  </sheetData>
  <mergeCells count="1">
    <mergeCell ref="L1:S1"/>
  </mergeCells>
  <pageMargins left="0.7" right="0.7" top="0.75" bottom="0.75" header="0.3" footer="0.3"/>
  <pageSetup scale="93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I45"/>
  <sheetViews>
    <sheetView tabSelected="1" topLeftCell="M1" zoomScaleNormal="100" workbookViewId="0">
      <selection activeCell="BA2" sqref="BA2"/>
    </sheetView>
  </sheetViews>
  <sheetFormatPr defaultColWidth="8.88671875" defaultRowHeight="13.8" x14ac:dyDescent="0.25"/>
  <cols>
    <col min="1" max="1" width="5.5546875" style="1" customWidth="1"/>
    <col min="2" max="2" width="45" style="17" customWidth="1"/>
    <col min="3" max="3" width="7.33203125" style="10" customWidth="1"/>
    <col min="4" max="4" width="12.88671875" style="21" customWidth="1"/>
    <col min="5" max="5" width="7.6640625" style="20" customWidth="1"/>
    <col min="6" max="6" width="11" style="21" customWidth="1"/>
    <col min="7" max="7" width="13.109375" style="20" customWidth="1"/>
    <col min="8" max="8" width="13" style="1" customWidth="1"/>
    <col min="9" max="9" width="14.44140625" style="21" bestFit="1" customWidth="1"/>
    <col min="10" max="10" width="12.44140625" style="9" bestFit="1" customWidth="1"/>
    <col min="11" max="11" width="15.44140625" style="9" customWidth="1"/>
    <col min="12" max="12" width="3.88671875" style="9" customWidth="1"/>
    <col min="13" max="13" width="13.5546875" style="9" customWidth="1"/>
    <col min="14" max="14" width="7.88671875" style="9" customWidth="1"/>
    <col min="15" max="15" width="5.5546875" style="1" customWidth="1"/>
    <col min="16" max="16" width="42.5546875" style="17" customWidth="1"/>
    <col min="17" max="17" width="10.5546875" style="10" customWidth="1"/>
    <col min="18" max="18" width="12.88671875" style="21" customWidth="1"/>
    <col min="19" max="19" width="8.88671875" style="20" customWidth="1"/>
    <col min="20" max="20" width="11" style="21" customWidth="1"/>
    <col min="21" max="21" width="14.109375" style="20" customWidth="1"/>
    <col min="22" max="22" width="13" style="1" customWidth="1"/>
    <col min="23" max="23" width="14.5546875" style="21" bestFit="1" customWidth="1"/>
    <col min="24" max="24" width="14.33203125" style="9" bestFit="1" customWidth="1"/>
    <col min="25" max="25" width="13.33203125" style="9" customWidth="1"/>
    <col min="26" max="26" width="14.33203125" style="9" customWidth="1"/>
    <col min="27" max="27" width="13.5546875" style="9" customWidth="1"/>
    <col min="28" max="30" width="8.88671875" style="9"/>
    <col min="31" max="31" width="5.5546875" style="1" customWidth="1"/>
    <col min="32" max="32" width="42.5546875" style="17" customWidth="1"/>
    <col min="33" max="33" width="10.5546875" style="10" customWidth="1"/>
    <col min="34" max="34" width="12.88671875" style="21" customWidth="1"/>
    <col min="35" max="35" width="8.88671875" style="20" customWidth="1"/>
    <col min="36" max="36" width="11" style="21" customWidth="1"/>
    <col min="37" max="37" width="14.109375" style="20" customWidth="1"/>
    <col min="38" max="38" width="13" style="1" customWidth="1"/>
    <col min="39" max="39" width="14.5546875" style="21" bestFit="1" customWidth="1"/>
    <col min="40" max="40" width="14.33203125" style="9" bestFit="1" customWidth="1"/>
    <col min="41" max="41" width="13.33203125" style="9" customWidth="1"/>
    <col min="42" max="42" width="14.33203125" style="9" customWidth="1"/>
    <col min="43" max="43" width="13.5546875" style="9" customWidth="1"/>
    <col min="44" max="44" width="8.88671875" style="9"/>
    <col min="45" max="45" width="9.44140625" style="9" bestFit="1" customWidth="1"/>
    <col min="46" max="46" width="8.88671875" style="9"/>
    <col min="47" max="47" width="5.5546875" style="1" customWidth="1"/>
    <col min="48" max="48" width="42.5546875" style="17" customWidth="1"/>
    <col min="49" max="49" width="10.5546875" style="10" customWidth="1"/>
    <col min="50" max="50" width="12.88671875" style="21" customWidth="1"/>
    <col min="51" max="51" width="8.88671875" style="20" customWidth="1"/>
    <col min="52" max="52" width="11" style="21" customWidth="1"/>
    <col min="53" max="53" width="14.109375" style="20" customWidth="1"/>
    <col min="54" max="54" width="13" style="1" customWidth="1"/>
    <col min="55" max="55" width="14.5546875" style="21" bestFit="1" customWidth="1"/>
    <col min="56" max="56" width="14.33203125" style="9" bestFit="1" customWidth="1"/>
    <col min="57" max="57" width="13.33203125" style="9" customWidth="1"/>
    <col min="58" max="58" width="14.33203125" style="9" customWidth="1"/>
    <col min="59" max="59" width="13.5546875" style="9" customWidth="1"/>
    <col min="60" max="60" width="8.88671875" style="9"/>
    <col min="61" max="61" width="9.44140625" style="9" bestFit="1" customWidth="1"/>
    <col min="62" max="16384" width="8.88671875" style="9"/>
  </cols>
  <sheetData>
    <row r="1" spans="1:61" ht="45" customHeight="1" x14ac:dyDescent="0.4">
      <c r="B1" s="2"/>
      <c r="C1" s="220"/>
      <c r="D1" s="220"/>
      <c r="E1" s="223"/>
      <c r="F1" s="221" t="s">
        <v>77</v>
      </c>
      <c r="G1" s="4"/>
      <c r="H1" s="5"/>
      <c r="I1" s="6"/>
      <c r="J1" s="7"/>
      <c r="K1" s="8" t="s">
        <v>83</v>
      </c>
      <c r="L1" s="7"/>
      <c r="M1" s="7"/>
      <c r="P1" s="232"/>
      <c r="Q1" s="238"/>
      <c r="R1" s="238"/>
      <c r="S1" s="239"/>
      <c r="T1" s="240" t="s">
        <v>130</v>
      </c>
      <c r="U1" s="228"/>
      <c r="V1" s="241"/>
      <c r="W1" s="242"/>
      <c r="X1" s="243"/>
      <c r="Y1" s="230" t="s">
        <v>83</v>
      </c>
      <c r="Z1" s="243"/>
      <c r="AA1" s="243"/>
      <c r="AF1" s="232"/>
      <c r="AG1" s="238"/>
      <c r="AH1" s="238"/>
      <c r="AI1" s="239"/>
      <c r="AJ1" s="242"/>
      <c r="AK1" s="240" t="s">
        <v>169</v>
      </c>
      <c r="AL1" s="306" t="s">
        <v>170</v>
      </c>
      <c r="AM1" s="242"/>
      <c r="AN1" s="243"/>
      <c r="AO1" s="230" t="s">
        <v>83</v>
      </c>
      <c r="AP1" s="243"/>
      <c r="AQ1" s="243"/>
      <c r="AV1" s="232"/>
      <c r="AW1" s="238"/>
      <c r="AX1" s="238"/>
      <c r="AY1" s="239"/>
      <c r="AZ1" s="242"/>
      <c r="BA1" s="240" t="s">
        <v>190</v>
      </c>
      <c r="BB1" s="306" t="s">
        <v>170</v>
      </c>
      <c r="BC1" s="242"/>
      <c r="BD1" s="243"/>
      <c r="BE1" s="230" t="s">
        <v>83</v>
      </c>
      <c r="BF1" s="243"/>
      <c r="BG1" s="243"/>
    </row>
    <row r="2" spans="1:61" s="17" customFormat="1" ht="27.6" x14ac:dyDescent="0.25">
      <c r="A2" s="10"/>
      <c r="B2" s="2" t="s">
        <v>0</v>
      </c>
      <c r="C2" s="11"/>
      <c r="D2" s="12" t="s">
        <v>46</v>
      </c>
      <c r="E2" s="13" t="s">
        <v>108</v>
      </c>
      <c r="F2" s="12" t="s">
        <v>41</v>
      </c>
      <c r="G2" s="13" t="s">
        <v>85</v>
      </c>
      <c r="H2" s="12" t="s">
        <v>45</v>
      </c>
      <c r="I2" s="14" t="s">
        <v>42</v>
      </c>
      <c r="J2" s="15" t="s">
        <v>43</v>
      </c>
      <c r="K2" s="8" t="s">
        <v>84</v>
      </c>
      <c r="L2" s="16"/>
      <c r="M2" s="16" t="s">
        <v>44</v>
      </c>
      <c r="O2" s="10"/>
      <c r="P2" s="232" t="s">
        <v>0</v>
      </c>
      <c r="Q2" s="231"/>
      <c r="R2" s="227" t="s">
        <v>46</v>
      </c>
      <c r="S2" s="244" t="s">
        <v>108</v>
      </c>
      <c r="T2" s="227" t="s">
        <v>41</v>
      </c>
      <c r="U2" s="244" t="s">
        <v>85</v>
      </c>
      <c r="V2" s="227" t="s">
        <v>45</v>
      </c>
      <c r="W2" s="231" t="s">
        <v>42</v>
      </c>
      <c r="X2" s="245" t="s">
        <v>43</v>
      </c>
      <c r="Y2" s="230" t="s">
        <v>136</v>
      </c>
      <c r="Z2" s="232"/>
      <c r="AA2" s="232" t="s">
        <v>44</v>
      </c>
      <c r="AE2" s="10"/>
      <c r="AF2" s="232" t="s">
        <v>0</v>
      </c>
      <c r="AG2" s="231"/>
      <c r="AH2" s="227" t="s">
        <v>46</v>
      </c>
      <c r="AI2" s="244" t="s">
        <v>108</v>
      </c>
      <c r="AJ2" s="227" t="s">
        <v>41</v>
      </c>
      <c r="AK2" s="244" t="s">
        <v>85</v>
      </c>
      <c r="AL2" s="227" t="s">
        <v>45</v>
      </c>
      <c r="AM2" s="231" t="s">
        <v>42</v>
      </c>
      <c r="AN2" s="245" t="s">
        <v>43</v>
      </c>
      <c r="AO2" s="230" t="s">
        <v>136</v>
      </c>
      <c r="AP2" s="232"/>
      <c r="AQ2" s="232" t="s">
        <v>44</v>
      </c>
      <c r="AU2" s="10"/>
      <c r="AV2" s="232" t="s">
        <v>0</v>
      </c>
      <c r="AW2" s="231"/>
      <c r="AX2" s="227" t="s">
        <v>46</v>
      </c>
      <c r="AY2" s="244" t="s">
        <v>108</v>
      </c>
      <c r="AZ2" s="227" t="s">
        <v>41</v>
      </c>
      <c r="BA2" s="244" t="s">
        <v>85</v>
      </c>
      <c r="BB2" s="227" t="s">
        <v>45</v>
      </c>
      <c r="BC2" s="231" t="s">
        <v>42</v>
      </c>
      <c r="BD2" s="245" t="s">
        <v>43</v>
      </c>
      <c r="BE2" s="230" t="s">
        <v>136</v>
      </c>
      <c r="BF2" s="232"/>
      <c r="BG2" s="232" t="s">
        <v>44</v>
      </c>
    </row>
    <row r="3" spans="1:61" ht="27.6" x14ac:dyDescent="0.25">
      <c r="A3" s="1" t="s">
        <v>112</v>
      </c>
      <c r="B3" s="18" t="s">
        <v>15</v>
      </c>
      <c r="C3" s="18" t="s">
        <v>90</v>
      </c>
      <c r="D3" s="19"/>
      <c r="G3" s="22" t="s">
        <v>51</v>
      </c>
      <c r="H3" s="21"/>
      <c r="I3" s="23">
        <v>119</v>
      </c>
      <c r="K3" s="24">
        <v>0.3</v>
      </c>
      <c r="O3" s="1" t="s">
        <v>112</v>
      </c>
      <c r="P3" s="18" t="s">
        <v>15</v>
      </c>
      <c r="Q3" s="18" t="s">
        <v>90</v>
      </c>
      <c r="R3" s="19"/>
      <c r="U3" s="22" t="s">
        <v>51</v>
      </c>
      <c r="V3" s="21"/>
      <c r="W3" s="23">
        <v>119</v>
      </c>
      <c r="Y3" s="24">
        <v>0.13</v>
      </c>
      <c r="AE3" s="1" t="s">
        <v>112</v>
      </c>
      <c r="AF3" s="18" t="s">
        <v>15</v>
      </c>
      <c r="AG3" s="18" t="s">
        <v>90</v>
      </c>
      <c r="AH3" s="19"/>
      <c r="AK3" s="22" t="s">
        <v>51</v>
      </c>
      <c r="AL3" s="21"/>
      <c r="AM3" s="304">
        <v>139</v>
      </c>
      <c r="AO3" s="24">
        <v>0.13</v>
      </c>
      <c r="AU3" s="1" t="s">
        <v>112</v>
      </c>
      <c r="AV3" s="18" t="s">
        <v>15</v>
      </c>
      <c r="AW3" s="18" t="s">
        <v>90</v>
      </c>
      <c r="AX3" s="19"/>
      <c r="BA3" s="22" t="s">
        <v>51</v>
      </c>
      <c r="BB3" s="21"/>
      <c r="BC3" s="304">
        <v>119</v>
      </c>
      <c r="BE3" s="24">
        <v>0.13</v>
      </c>
    </row>
    <row r="4" spans="1:61" x14ac:dyDescent="0.25">
      <c r="A4" s="1">
        <v>1</v>
      </c>
      <c r="B4" s="25" t="s">
        <v>98</v>
      </c>
      <c r="C4" s="26">
        <v>1</v>
      </c>
      <c r="D4" s="26">
        <v>40</v>
      </c>
      <c r="E4" s="26">
        <v>52</v>
      </c>
      <c r="F4" s="27">
        <f>(+C4*D4)*E4</f>
        <v>2080</v>
      </c>
      <c r="G4" s="28">
        <v>0.65</v>
      </c>
      <c r="H4" s="29">
        <f>+F4*G4</f>
        <v>1352</v>
      </c>
      <c r="I4" s="30">
        <f>+$I$3</f>
        <v>119</v>
      </c>
      <c r="J4" s="31">
        <f>+H4*I4</f>
        <v>160888</v>
      </c>
      <c r="K4" s="32">
        <f>+$K$3</f>
        <v>0.3</v>
      </c>
      <c r="M4" s="33">
        <f>+J4*K4</f>
        <v>48266.400000000001</v>
      </c>
      <c r="O4" s="1">
        <v>1</v>
      </c>
      <c r="P4" s="25" t="s">
        <v>131</v>
      </c>
      <c r="Q4" s="26">
        <v>8</v>
      </c>
      <c r="R4" s="26">
        <v>40</v>
      </c>
      <c r="S4" s="26">
        <v>52</v>
      </c>
      <c r="T4" s="27">
        <f>(+Q4*R4)*S4</f>
        <v>16640</v>
      </c>
      <c r="U4" s="28">
        <v>0.5</v>
      </c>
      <c r="V4" s="29">
        <f>+T4*U4</f>
        <v>8320</v>
      </c>
      <c r="W4" s="30">
        <f>+W$3</f>
        <v>119</v>
      </c>
      <c r="X4" s="31">
        <f>+V4*W4</f>
        <v>990080</v>
      </c>
      <c r="Y4" s="32">
        <f>+Y3</f>
        <v>0.13</v>
      </c>
      <c r="AA4" s="33">
        <f>+X4*Y4</f>
        <v>128710.40000000001</v>
      </c>
      <c r="AE4" s="1">
        <v>1</v>
      </c>
      <c r="AF4" s="25" t="s">
        <v>131</v>
      </c>
      <c r="AG4" s="116">
        <v>9</v>
      </c>
      <c r="AH4" s="26">
        <v>40</v>
      </c>
      <c r="AI4" s="26">
        <v>52</v>
      </c>
      <c r="AJ4" s="27">
        <f>(+AG4*AH4)*AI4</f>
        <v>18720</v>
      </c>
      <c r="AK4" s="28">
        <v>0.5</v>
      </c>
      <c r="AL4" s="29">
        <f>+AJ4*AK4</f>
        <v>9360</v>
      </c>
      <c r="AM4" s="30">
        <f>+AM$3</f>
        <v>139</v>
      </c>
      <c r="AN4" s="31">
        <f>+AL4*AM4</f>
        <v>1301040</v>
      </c>
      <c r="AO4" s="32">
        <f>+AO3</f>
        <v>0.13</v>
      </c>
      <c r="AQ4" s="33">
        <f>+AN4*AO4</f>
        <v>169135.2</v>
      </c>
      <c r="AU4" s="1">
        <v>1</v>
      </c>
      <c r="AV4" s="25" t="s">
        <v>131</v>
      </c>
      <c r="AW4" s="116">
        <v>3</v>
      </c>
      <c r="AX4" s="26">
        <v>40</v>
      </c>
      <c r="AY4" s="26">
        <v>52</v>
      </c>
      <c r="AZ4" s="27">
        <f>(+AW4*AX4)*AY4</f>
        <v>6240</v>
      </c>
      <c r="BA4" s="28">
        <v>0.5</v>
      </c>
      <c r="BB4" s="29">
        <f>+AZ4*BA4</f>
        <v>3120</v>
      </c>
      <c r="BC4" s="30">
        <f>+BC$3</f>
        <v>119</v>
      </c>
      <c r="BD4" s="31">
        <f>+BB4*BC4</f>
        <v>371280</v>
      </c>
      <c r="BE4" s="32">
        <f>+BE3</f>
        <v>0.13</v>
      </c>
      <c r="BG4" s="33">
        <f>+BD4*BE4</f>
        <v>48266.400000000001</v>
      </c>
    </row>
    <row r="5" spans="1:61" x14ac:dyDescent="0.25">
      <c r="A5" s="1">
        <v>2</v>
      </c>
      <c r="B5" s="25" t="s">
        <v>93</v>
      </c>
      <c r="C5" s="26">
        <v>1</v>
      </c>
      <c r="D5" s="26">
        <v>40</v>
      </c>
      <c r="E5" s="26">
        <v>52</v>
      </c>
      <c r="F5" s="27">
        <f>(+C5*D5)*E5</f>
        <v>2080</v>
      </c>
      <c r="G5" s="28">
        <v>0.65</v>
      </c>
      <c r="H5" s="29">
        <f>+F5*G5</f>
        <v>1352</v>
      </c>
      <c r="I5" s="30">
        <f>+$I$3</f>
        <v>119</v>
      </c>
      <c r="J5" s="31">
        <f>+H5*I5</f>
        <v>160888</v>
      </c>
      <c r="K5" s="32">
        <f>+$K$3</f>
        <v>0.3</v>
      </c>
      <c r="M5" s="33">
        <f>+J5*K5</f>
        <v>48266.400000000001</v>
      </c>
      <c r="R5" s="10"/>
      <c r="S5" s="10"/>
      <c r="T5" s="10"/>
      <c r="U5" s="10"/>
      <c r="V5" s="29"/>
      <c r="W5" s="30"/>
      <c r="X5" s="31"/>
      <c r="Y5" s="32"/>
      <c r="AA5" s="33"/>
      <c r="AH5" s="10"/>
      <c r="AI5" s="10"/>
      <c r="AJ5" s="10"/>
      <c r="AK5" s="10"/>
      <c r="AL5" s="29"/>
      <c r="AM5" s="30"/>
      <c r="AN5" s="31"/>
      <c r="AO5" s="32"/>
      <c r="AQ5" s="33"/>
      <c r="AX5" s="10"/>
      <c r="AY5" s="10"/>
      <c r="AZ5" s="10"/>
      <c r="BA5" s="10"/>
      <c r="BB5" s="29"/>
      <c r="BC5" s="30"/>
      <c r="BD5" s="31"/>
      <c r="BE5" s="32"/>
      <c r="BG5" s="33"/>
    </row>
    <row r="6" spans="1:61" ht="14.4" thickBot="1" x14ac:dyDescent="0.3">
      <c r="B6" s="34"/>
      <c r="C6" s="35">
        <f>SUM(C4:C5)</f>
        <v>2</v>
      </c>
      <c r="D6" s="34"/>
      <c r="E6" s="34"/>
      <c r="F6" s="36">
        <f>SUM(F4:F5)</f>
        <v>4160</v>
      </c>
      <c r="G6" s="37">
        <f>SUM(G4:G5)</f>
        <v>1.3</v>
      </c>
      <c r="H6" s="38">
        <f>SUM(H4:H5)</f>
        <v>2704</v>
      </c>
      <c r="I6" s="39"/>
      <c r="J6" s="40">
        <f>SUM(J4:J5)</f>
        <v>321776</v>
      </c>
      <c r="K6" s="41"/>
      <c r="L6" s="42"/>
      <c r="M6" s="40">
        <f>SUM(M4:M5)</f>
        <v>96532.800000000003</v>
      </c>
      <c r="O6" s="1">
        <v>2</v>
      </c>
      <c r="P6" s="50" t="s">
        <v>157</v>
      </c>
      <c r="Q6" s="51">
        <f>SUM(Q4:Q5)</f>
        <v>8</v>
      </c>
      <c r="R6" s="52"/>
      <c r="S6" s="53"/>
      <c r="T6" s="246">
        <f t="shared" ref="T6:V6" si="0">SUM(T4:T5)</f>
        <v>16640</v>
      </c>
      <c r="U6" s="248">
        <f t="shared" si="0"/>
        <v>0.5</v>
      </c>
      <c r="V6" s="257">
        <f t="shared" si="0"/>
        <v>8320</v>
      </c>
      <c r="W6" s="56"/>
      <c r="X6" s="246">
        <f>SUM(X4:X5)</f>
        <v>990080</v>
      </c>
      <c r="Y6" s="58"/>
      <c r="Z6" s="57"/>
      <c r="AA6" s="246">
        <f>SUM(AA4:AA5)</f>
        <v>128710.40000000001</v>
      </c>
      <c r="AE6" s="1">
        <v>2</v>
      </c>
      <c r="AF6" s="50" t="s">
        <v>157</v>
      </c>
      <c r="AG6" s="51">
        <f>SUM(AG4:AG5)</f>
        <v>9</v>
      </c>
      <c r="AH6" s="52"/>
      <c r="AI6" s="53"/>
      <c r="AJ6" s="246">
        <f t="shared" ref="AJ6:AL6" si="1">SUM(AJ4:AJ5)</f>
        <v>18720</v>
      </c>
      <c r="AK6" s="248">
        <f t="shared" si="1"/>
        <v>0.5</v>
      </c>
      <c r="AL6" s="257">
        <f t="shared" si="1"/>
        <v>9360</v>
      </c>
      <c r="AM6" s="56"/>
      <c r="AN6" s="246">
        <f>SUM(AN4:AN5)</f>
        <v>1301040</v>
      </c>
      <c r="AO6" s="58"/>
      <c r="AP6" s="57"/>
      <c r="AQ6" s="246">
        <f>SUM(AQ4:AQ5)</f>
        <v>169135.2</v>
      </c>
      <c r="AU6" s="1">
        <v>2</v>
      </c>
      <c r="AV6" s="50" t="s">
        <v>157</v>
      </c>
      <c r="AW6" s="51">
        <f>SUM(AW4:AW5)</f>
        <v>3</v>
      </c>
      <c r="AX6" s="52"/>
      <c r="AY6" s="53"/>
      <c r="AZ6" s="246">
        <f t="shared" ref="AZ6:BB6" si="2">SUM(AZ4:AZ5)</f>
        <v>6240</v>
      </c>
      <c r="BA6" s="248">
        <f t="shared" si="2"/>
        <v>0.5</v>
      </c>
      <c r="BB6" s="257">
        <f t="shared" si="2"/>
        <v>3120</v>
      </c>
      <c r="BC6" s="56"/>
      <c r="BD6" s="246">
        <f>SUM(BD4:BD5)</f>
        <v>371280</v>
      </c>
      <c r="BE6" s="58"/>
      <c r="BF6" s="57"/>
      <c r="BG6" s="246">
        <f>SUM(BG4:BG5)</f>
        <v>48266.400000000001</v>
      </c>
    </row>
    <row r="7" spans="1:61" ht="14.4" thickTop="1" x14ac:dyDescent="0.25">
      <c r="B7" s="43"/>
      <c r="C7" s="44"/>
      <c r="D7" s="43"/>
      <c r="E7" s="43"/>
      <c r="F7" s="45"/>
      <c r="G7" s="46"/>
      <c r="H7" s="29"/>
      <c r="I7" s="47"/>
      <c r="K7" s="48"/>
      <c r="X7" s="247"/>
      <c r="AA7" s="59">
        <f>+AA6/X6</f>
        <v>0.13</v>
      </c>
      <c r="AN7" s="247"/>
      <c r="AQ7" s="59">
        <f>+AQ6/AN6</f>
        <v>0.13</v>
      </c>
      <c r="BD7" s="247"/>
      <c r="BG7" s="59">
        <f>+BG6/BD6</f>
        <v>0.13</v>
      </c>
    </row>
    <row r="8" spans="1:61" x14ac:dyDescent="0.25">
      <c r="A8" s="1">
        <v>3</v>
      </c>
      <c r="B8" s="25" t="s">
        <v>97</v>
      </c>
      <c r="C8" s="26">
        <v>1</v>
      </c>
      <c r="D8" s="26">
        <v>40</v>
      </c>
      <c r="E8" s="26">
        <v>52</v>
      </c>
      <c r="F8" s="27">
        <f>(+C8*D8)*E8</f>
        <v>2080</v>
      </c>
      <c r="G8" s="28">
        <v>0.5</v>
      </c>
      <c r="H8" s="29">
        <f>+F8*G8</f>
        <v>1040</v>
      </c>
      <c r="I8" s="30">
        <f>+$I$3</f>
        <v>119</v>
      </c>
      <c r="J8" s="31">
        <f>+H8*I8</f>
        <v>123760</v>
      </c>
      <c r="K8" s="32">
        <f>+$K$3</f>
        <v>0.3</v>
      </c>
      <c r="M8" s="33">
        <f>+J8*K8</f>
        <v>37128</v>
      </c>
      <c r="O8" s="1">
        <v>3</v>
      </c>
      <c r="P8" s="61" t="s">
        <v>153</v>
      </c>
      <c r="Q8" s="62" t="s">
        <v>86</v>
      </c>
      <c r="R8" s="63" t="s">
        <v>47</v>
      </c>
      <c r="S8" s="63" t="s">
        <v>139</v>
      </c>
      <c r="T8" s="63" t="s">
        <v>150</v>
      </c>
      <c r="U8" s="63" t="s">
        <v>163</v>
      </c>
      <c r="V8" s="63" t="s">
        <v>151</v>
      </c>
      <c r="W8" s="252" t="s">
        <v>140</v>
      </c>
      <c r="X8" s="63" t="s">
        <v>152</v>
      </c>
      <c r="Y8" s="62"/>
      <c r="Z8" s="62"/>
      <c r="AA8" s="62"/>
      <c r="AB8" s="62" t="s">
        <v>4</v>
      </c>
      <c r="AE8" s="1">
        <v>3</v>
      </c>
      <c r="AF8" s="61" t="s">
        <v>153</v>
      </c>
      <c r="AG8" s="62" t="s">
        <v>86</v>
      </c>
      <c r="AH8" s="63" t="s">
        <v>47</v>
      </c>
      <c r="AI8" s="63" t="s">
        <v>139</v>
      </c>
      <c r="AJ8" s="63" t="s">
        <v>150</v>
      </c>
      <c r="AK8" s="63" t="s">
        <v>163</v>
      </c>
      <c r="AL8" s="63" t="s">
        <v>151</v>
      </c>
      <c r="AM8" s="252" t="s">
        <v>140</v>
      </c>
      <c r="AN8" s="63" t="s">
        <v>152</v>
      </c>
      <c r="AO8" s="62"/>
      <c r="AP8" s="62"/>
      <c r="AQ8" s="62"/>
      <c r="AR8" s="62" t="s">
        <v>4</v>
      </c>
      <c r="AU8" s="1">
        <v>3</v>
      </c>
      <c r="AV8" s="61" t="s">
        <v>153</v>
      </c>
      <c r="AW8" s="62" t="s">
        <v>86</v>
      </c>
      <c r="AX8" s="63" t="s">
        <v>47</v>
      </c>
      <c r="AY8" s="63" t="s">
        <v>139</v>
      </c>
      <c r="AZ8" s="63" t="s">
        <v>150</v>
      </c>
      <c r="BA8" s="63" t="s">
        <v>163</v>
      </c>
      <c r="BB8" s="63" t="s">
        <v>151</v>
      </c>
      <c r="BC8" s="252" t="s">
        <v>140</v>
      </c>
      <c r="BD8" s="63" t="s">
        <v>152</v>
      </c>
      <c r="BE8" s="62"/>
      <c r="BF8" s="62"/>
      <c r="BG8" s="62"/>
      <c r="BH8" s="62" t="s">
        <v>4</v>
      </c>
    </row>
    <row r="9" spans="1:61" ht="18.600000000000001" customHeight="1" x14ac:dyDescent="0.25">
      <c r="B9" s="43"/>
      <c r="C9" s="44"/>
      <c r="D9" s="43"/>
      <c r="E9" s="43"/>
      <c r="F9" s="45"/>
      <c r="G9" s="43"/>
      <c r="H9" s="43"/>
      <c r="I9" s="49"/>
      <c r="J9" s="43"/>
      <c r="K9" s="49"/>
      <c r="L9" s="43"/>
      <c r="M9" s="33"/>
      <c r="O9" s="1">
        <v>4</v>
      </c>
      <c r="P9" s="25" t="s">
        <v>137</v>
      </c>
      <c r="Q9" s="26">
        <v>2</v>
      </c>
      <c r="R9" s="66">
        <v>10</v>
      </c>
      <c r="S9" s="26">
        <v>40</v>
      </c>
      <c r="T9" s="277">
        <f>+R9*S9</f>
        <v>400</v>
      </c>
      <c r="U9" s="277">
        <f>+T9*4.33</f>
        <v>1732</v>
      </c>
      <c r="V9" s="26">
        <v>52</v>
      </c>
      <c r="W9" s="251">
        <f>(+R9*S9)*V9</f>
        <v>20800</v>
      </c>
      <c r="X9" s="68">
        <f>+W9*Q9</f>
        <v>41600</v>
      </c>
      <c r="AE9" s="1">
        <v>4</v>
      </c>
      <c r="AF9" s="25" t="s">
        <v>137</v>
      </c>
      <c r="AG9" s="116">
        <v>3</v>
      </c>
      <c r="AH9" s="66">
        <v>10</v>
      </c>
      <c r="AI9" s="26">
        <v>40</v>
      </c>
      <c r="AJ9" s="277">
        <f>+AH9*AI9</f>
        <v>400</v>
      </c>
      <c r="AK9" s="277">
        <f>+AJ9*4.33</f>
        <v>1732</v>
      </c>
      <c r="AL9" s="26">
        <v>52</v>
      </c>
      <c r="AM9" s="251">
        <f>(+AH9*AI9)*AL9</f>
        <v>20800</v>
      </c>
      <c r="AN9" s="68">
        <f>+AM9*AG9</f>
        <v>62400</v>
      </c>
      <c r="AR9" s="83">
        <f t="shared" ref="AR9:AR12" si="3">+AN9/AN$6</f>
        <v>4.7961630695443645E-2</v>
      </c>
      <c r="AU9" s="1">
        <v>4</v>
      </c>
      <c r="AV9" s="25" t="s">
        <v>137</v>
      </c>
      <c r="AW9" s="116">
        <v>1</v>
      </c>
      <c r="AX9" s="66">
        <v>10</v>
      </c>
      <c r="AY9" s="26">
        <v>40</v>
      </c>
      <c r="AZ9" s="277">
        <f>+AX9*AY9</f>
        <v>400</v>
      </c>
      <c r="BA9" s="277">
        <f>+AZ9*4.33</f>
        <v>1732</v>
      </c>
      <c r="BB9" s="26">
        <v>52</v>
      </c>
      <c r="BC9" s="251">
        <f>(+AX9*AY9)*BB9</f>
        <v>20800</v>
      </c>
      <c r="BD9" s="68">
        <f>+BC9*AW9</f>
        <v>20800</v>
      </c>
      <c r="BH9" s="83">
        <f t="shared" ref="BH9:BH12" si="4">+BD9/BD$6</f>
        <v>5.6022408963585436E-2</v>
      </c>
    </row>
    <row r="10" spans="1:61" x14ac:dyDescent="0.25">
      <c r="A10" s="1">
        <v>4</v>
      </c>
      <c r="B10" s="25" t="s">
        <v>96</v>
      </c>
      <c r="C10" s="26">
        <v>1</v>
      </c>
      <c r="D10" s="26">
        <v>40</v>
      </c>
      <c r="E10" s="26">
        <v>22</v>
      </c>
      <c r="F10" s="27">
        <f>(+C10*D10)*E10</f>
        <v>880</v>
      </c>
      <c r="G10" s="28">
        <v>0.35</v>
      </c>
      <c r="H10" s="29">
        <f>+F10*G10</f>
        <v>308</v>
      </c>
      <c r="I10" s="30">
        <f>+$I$3</f>
        <v>119</v>
      </c>
      <c r="J10" s="31">
        <f>+H10*I10</f>
        <v>36652</v>
      </c>
      <c r="K10" s="32">
        <f>+$K$3</f>
        <v>0.3</v>
      </c>
      <c r="M10" s="33">
        <f>+J10*K10</f>
        <v>10995.6</v>
      </c>
      <c r="O10" s="1">
        <v>5</v>
      </c>
      <c r="P10" s="25" t="s">
        <v>132</v>
      </c>
      <c r="Q10" s="26">
        <v>1</v>
      </c>
      <c r="R10" s="66">
        <v>17</v>
      </c>
      <c r="S10" s="26">
        <v>40</v>
      </c>
      <c r="T10" s="277">
        <f t="shared" ref="T10:U14" si="5">+R10*S10</f>
        <v>680</v>
      </c>
      <c r="U10" s="277">
        <f t="shared" ref="U10:U13" si="6">+T10*4.33</f>
        <v>2944.4</v>
      </c>
      <c r="V10" s="26">
        <v>52</v>
      </c>
      <c r="W10" s="251">
        <f>(+R10*S10)*V10</f>
        <v>35360</v>
      </c>
      <c r="X10" s="68">
        <f>+W10*Q10</f>
        <v>35360</v>
      </c>
      <c r="AE10" s="1">
        <v>5</v>
      </c>
      <c r="AF10" s="25" t="s">
        <v>132</v>
      </c>
      <c r="AG10" s="116">
        <v>2</v>
      </c>
      <c r="AH10" s="66">
        <v>17</v>
      </c>
      <c r="AI10" s="26">
        <v>40</v>
      </c>
      <c r="AJ10" s="277">
        <f t="shared" ref="AJ10:AJ13" si="7">+AH10*AI10</f>
        <v>680</v>
      </c>
      <c r="AK10" s="277">
        <f t="shared" ref="AK10:AK13" si="8">+AJ10*4.33</f>
        <v>2944.4</v>
      </c>
      <c r="AL10" s="26">
        <v>52</v>
      </c>
      <c r="AM10" s="251">
        <f>(+AH10*AI10)*AL10</f>
        <v>35360</v>
      </c>
      <c r="AN10" s="68">
        <f>+AM10*AG10</f>
        <v>70720</v>
      </c>
      <c r="AR10" s="83">
        <f t="shared" si="3"/>
        <v>5.4356514788169462E-2</v>
      </c>
      <c r="AU10" s="1">
        <v>5</v>
      </c>
      <c r="AV10" s="25" t="s">
        <v>132</v>
      </c>
      <c r="AW10" s="116">
        <v>1</v>
      </c>
      <c r="AX10" s="66">
        <v>17</v>
      </c>
      <c r="AY10" s="26">
        <v>40</v>
      </c>
      <c r="AZ10" s="277">
        <f t="shared" ref="AZ10:AZ13" si="9">+AX10*AY10</f>
        <v>680</v>
      </c>
      <c r="BA10" s="277">
        <f t="shared" ref="BA10:BA13" si="10">+AZ10*4.33</f>
        <v>2944.4</v>
      </c>
      <c r="BB10" s="26">
        <v>52</v>
      </c>
      <c r="BC10" s="251">
        <f>(+AX10*AY10)*BB10</f>
        <v>35360</v>
      </c>
      <c r="BD10" s="68">
        <f>+BC10*AW10</f>
        <v>35360</v>
      </c>
      <c r="BH10" s="83">
        <f t="shared" si="4"/>
        <v>9.5238095238095233E-2</v>
      </c>
    </row>
    <row r="11" spans="1:61" ht="14.4" thickBot="1" x14ac:dyDescent="0.3">
      <c r="A11" s="1">
        <v>5</v>
      </c>
      <c r="B11" s="50" t="s">
        <v>14</v>
      </c>
      <c r="C11" s="51">
        <f>SUM(C6:C10)</f>
        <v>4</v>
      </c>
      <c r="D11" s="52"/>
      <c r="E11" s="53"/>
      <c r="F11" s="54">
        <f>SUM(F6:F10)</f>
        <v>7120</v>
      </c>
      <c r="G11" s="55">
        <f>+H11/F11</f>
        <v>0.56910112359550558</v>
      </c>
      <c r="H11" s="56">
        <f>SUM(H6:H10)</f>
        <v>4052</v>
      </c>
      <c r="I11" s="56"/>
      <c r="J11" s="57">
        <f>SUM(J6:J10)</f>
        <v>482188</v>
      </c>
      <c r="K11" s="58"/>
      <c r="L11" s="57"/>
      <c r="M11" s="57">
        <f>SUM(M6:M10)</f>
        <v>144656.4</v>
      </c>
      <c r="O11" s="1">
        <v>6</v>
      </c>
      <c r="P11" s="25" t="s">
        <v>133</v>
      </c>
      <c r="Q11" s="26">
        <v>0.5</v>
      </c>
      <c r="R11" s="66">
        <v>21</v>
      </c>
      <c r="S11" s="26">
        <v>40</v>
      </c>
      <c r="T11" s="277">
        <f t="shared" si="5"/>
        <v>840</v>
      </c>
      <c r="U11" s="277">
        <f t="shared" si="6"/>
        <v>3637.2000000000003</v>
      </c>
      <c r="V11" s="26">
        <v>52</v>
      </c>
      <c r="W11" s="251">
        <f>(+R11*S11)*V11</f>
        <v>43680</v>
      </c>
      <c r="X11" s="68">
        <f>+W11*Q11</f>
        <v>21840</v>
      </c>
      <c r="AE11" s="1">
        <v>6</v>
      </c>
      <c r="AF11" s="25" t="s">
        <v>133</v>
      </c>
      <c r="AG11" s="116">
        <v>0.5</v>
      </c>
      <c r="AH11" s="66">
        <v>21</v>
      </c>
      <c r="AI11" s="26">
        <v>40</v>
      </c>
      <c r="AJ11" s="277">
        <f t="shared" si="7"/>
        <v>840</v>
      </c>
      <c r="AK11" s="277">
        <f t="shared" si="8"/>
        <v>3637.2000000000003</v>
      </c>
      <c r="AL11" s="26">
        <v>52</v>
      </c>
      <c r="AM11" s="251">
        <f>(+AH11*AI11)*AL11</f>
        <v>43680</v>
      </c>
      <c r="AN11" s="68">
        <f>+AM11*AG11</f>
        <v>21840</v>
      </c>
      <c r="AR11" s="83">
        <f t="shared" si="3"/>
        <v>1.6786570743405275E-2</v>
      </c>
      <c r="AU11" s="1">
        <v>6</v>
      </c>
      <c r="AV11" s="25" t="s">
        <v>133</v>
      </c>
      <c r="AW11" s="116">
        <v>0.25</v>
      </c>
      <c r="AX11" s="66">
        <v>21</v>
      </c>
      <c r="AY11" s="26">
        <v>40</v>
      </c>
      <c r="AZ11" s="277">
        <f t="shared" si="9"/>
        <v>840</v>
      </c>
      <c r="BA11" s="277">
        <f t="shared" si="10"/>
        <v>3637.2000000000003</v>
      </c>
      <c r="BB11" s="26">
        <v>52</v>
      </c>
      <c r="BC11" s="251">
        <f>(+AX11*AY11)*BB11</f>
        <v>43680</v>
      </c>
      <c r="BD11" s="68">
        <f>+BC11*AW11</f>
        <v>10920</v>
      </c>
      <c r="BH11" s="83">
        <f t="shared" si="4"/>
        <v>2.9411764705882353E-2</v>
      </c>
    </row>
    <row r="12" spans="1:61" ht="14.4" thickTop="1" x14ac:dyDescent="0.25">
      <c r="M12" s="59">
        <f>+M11/J11</f>
        <v>0.3</v>
      </c>
      <c r="O12" s="1">
        <v>7</v>
      </c>
      <c r="P12" s="25" t="s">
        <v>134</v>
      </c>
      <c r="Q12" s="26">
        <v>1</v>
      </c>
      <c r="R12" s="66">
        <v>12</v>
      </c>
      <c r="S12" s="26">
        <v>40</v>
      </c>
      <c r="T12" s="277">
        <f t="shared" si="5"/>
        <v>480</v>
      </c>
      <c r="U12" s="277">
        <f t="shared" si="6"/>
        <v>2078.4</v>
      </c>
      <c r="V12" s="26">
        <v>52</v>
      </c>
      <c r="W12" s="251">
        <f>(+R12*S12)*V12</f>
        <v>24960</v>
      </c>
      <c r="X12" s="68">
        <f>+W12*Q12</f>
        <v>24960</v>
      </c>
      <c r="AE12" s="1">
        <v>7</v>
      </c>
      <c r="AF12" s="25" t="s">
        <v>134</v>
      </c>
      <c r="AG12" s="26">
        <v>1</v>
      </c>
      <c r="AH12" s="66">
        <v>12</v>
      </c>
      <c r="AI12" s="26">
        <v>40</v>
      </c>
      <c r="AJ12" s="277">
        <f t="shared" si="7"/>
        <v>480</v>
      </c>
      <c r="AK12" s="277">
        <f t="shared" si="8"/>
        <v>2078.4</v>
      </c>
      <c r="AL12" s="26">
        <v>52</v>
      </c>
      <c r="AM12" s="251">
        <f>(+AH12*AI12)*AL12</f>
        <v>24960</v>
      </c>
      <c r="AN12" s="68">
        <f>+AM12*AG12</f>
        <v>24960</v>
      </c>
      <c r="AR12" s="83">
        <f t="shared" si="3"/>
        <v>1.9184652278177457E-2</v>
      </c>
      <c r="AU12" s="1">
        <v>7</v>
      </c>
      <c r="AV12" s="25" t="s">
        <v>134</v>
      </c>
      <c r="AW12" s="26"/>
      <c r="AX12" s="66">
        <v>12</v>
      </c>
      <c r="AY12" s="26">
        <v>40</v>
      </c>
      <c r="AZ12" s="277">
        <f t="shared" si="9"/>
        <v>480</v>
      </c>
      <c r="BA12" s="277">
        <f t="shared" si="10"/>
        <v>2078.4</v>
      </c>
      <c r="BB12" s="26">
        <v>52</v>
      </c>
      <c r="BC12" s="251">
        <f>(+AX12*AY12)*BB12</f>
        <v>24960</v>
      </c>
      <c r="BD12" s="68">
        <f>+BC12*AW12</f>
        <v>0</v>
      </c>
      <c r="BH12" s="83">
        <f t="shared" si="4"/>
        <v>0</v>
      </c>
    </row>
    <row r="13" spans="1:61" x14ac:dyDescent="0.25">
      <c r="I13" s="60"/>
      <c r="P13" s="25" t="s">
        <v>135</v>
      </c>
      <c r="Q13" s="26">
        <v>1</v>
      </c>
      <c r="R13" s="66">
        <v>25</v>
      </c>
      <c r="S13" s="26">
        <v>40</v>
      </c>
      <c r="T13" s="277">
        <f t="shared" ref="T13:U13" si="11">+R13*S13</f>
        <v>1000</v>
      </c>
      <c r="U13" s="277">
        <f t="shared" si="6"/>
        <v>4330</v>
      </c>
      <c r="V13" s="26">
        <v>52</v>
      </c>
      <c r="W13" s="251">
        <f>(+R13*S13)*V13</f>
        <v>52000</v>
      </c>
      <c r="X13" s="68">
        <f>+W13*Q13</f>
        <v>52000</v>
      </c>
      <c r="AF13" s="25" t="s">
        <v>135</v>
      </c>
      <c r="AG13" s="26">
        <v>1</v>
      </c>
      <c r="AH13" s="66">
        <v>25</v>
      </c>
      <c r="AI13" s="26">
        <v>40</v>
      </c>
      <c r="AJ13" s="277">
        <f t="shared" si="7"/>
        <v>1000</v>
      </c>
      <c r="AK13" s="277">
        <f t="shared" si="8"/>
        <v>4330</v>
      </c>
      <c r="AL13" s="26">
        <v>52</v>
      </c>
      <c r="AM13" s="251">
        <f>(+AH13*AI13)*AL13</f>
        <v>52000</v>
      </c>
      <c r="AN13" s="68">
        <f>+AM13*AG13</f>
        <v>52000</v>
      </c>
      <c r="AR13" s="83">
        <f>+AN13/AN$6</f>
        <v>3.9968025579536368E-2</v>
      </c>
      <c r="AS13" s="293"/>
      <c r="AV13" s="25" t="s">
        <v>135</v>
      </c>
      <c r="AW13" s="26"/>
      <c r="AX13" s="66">
        <v>25</v>
      </c>
      <c r="AY13" s="26">
        <v>40</v>
      </c>
      <c r="AZ13" s="277">
        <f t="shared" si="9"/>
        <v>1000</v>
      </c>
      <c r="BA13" s="277">
        <f t="shared" si="10"/>
        <v>4330</v>
      </c>
      <c r="BB13" s="26">
        <v>52</v>
      </c>
      <c r="BC13" s="251">
        <f>(+AX13*AY13)*BB13</f>
        <v>52000</v>
      </c>
      <c r="BD13" s="68">
        <f>+BC13*AW13</f>
        <v>0</v>
      </c>
      <c r="BH13" s="83">
        <f>+BD13/BD$6</f>
        <v>0</v>
      </c>
      <c r="BI13" s="293"/>
    </row>
    <row r="14" spans="1:61" ht="27.6" x14ac:dyDescent="0.25">
      <c r="B14" s="61" t="s">
        <v>11</v>
      </c>
      <c r="C14" s="62" t="s">
        <v>86</v>
      </c>
      <c r="D14" s="63" t="s">
        <v>47</v>
      </c>
      <c r="E14" s="63" t="s">
        <v>13</v>
      </c>
      <c r="F14" s="63" t="s">
        <v>80</v>
      </c>
      <c r="G14" s="64" t="s">
        <v>81</v>
      </c>
      <c r="H14" s="63" t="str">
        <f>+$H$2</f>
        <v>= Billed Hrs</v>
      </c>
      <c r="I14" s="63" t="s">
        <v>87</v>
      </c>
      <c r="J14" s="62" t="s">
        <v>79</v>
      </c>
      <c r="K14" s="62" t="s">
        <v>4</v>
      </c>
      <c r="O14" s="1">
        <v>8</v>
      </c>
      <c r="P14" s="25" t="s">
        <v>162</v>
      </c>
      <c r="Q14" s="26">
        <f>+'Parts Dept'!$O$15</f>
        <v>2.5</v>
      </c>
      <c r="R14" s="66"/>
      <c r="S14" s="26"/>
      <c r="T14" s="277"/>
      <c r="U14" s="277"/>
      <c r="V14" s="26"/>
      <c r="W14" s="251"/>
      <c r="X14" s="68"/>
      <c r="AE14" s="1">
        <v>8</v>
      </c>
      <c r="AF14" s="25" t="s">
        <v>162</v>
      </c>
      <c r="AG14" s="26">
        <f>+'Parts Dept'!$O$15</f>
        <v>2.5</v>
      </c>
      <c r="AH14" s="66"/>
      <c r="AI14" s="26"/>
      <c r="AJ14" s="277"/>
      <c r="AK14" s="277"/>
      <c r="AL14" s="26"/>
      <c r="AM14" s="251"/>
      <c r="AN14" s="68"/>
      <c r="AU14" s="1">
        <v>8</v>
      </c>
      <c r="AV14" s="25" t="s">
        <v>162</v>
      </c>
      <c r="AW14" s="116">
        <v>1</v>
      </c>
      <c r="AX14" s="66"/>
      <c r="AY14" s="26"/>
      <c r="AZ14" s="277"/>
      <c r="BA14" s="277"/>
      <c r="BB14" s="26"/>
      <c r="BC14" s="251"/>
      <c r="BD14" s="68"/>
    </row>
    <row r="15" spans="1:61" x14ac:dyDescent="0.25">
      <c r="A15" s="1">
        <v>6</v>
      </c>
      <c r="B15" s="65" t="str">
        <f>+B4</f>
        <v>Type 1 Tech</v>
      </c>
      <c r="C15" s="15">
        <f>+C4</f>
        <v>1</v>
      </c>
      <c r="D15" s="66">
        <v>20</v>
      </c>
      <c r="E15" s="67" t="s">
        <v>13</v>
      </c>
      <c r="F15" s="225">
        <v>2080</v>
      </c>
      <c r="G15" s="44"/>
      <c r="H15" s="44"/>
      <c r="I15" s="68">
        <f>+C15*(+D15*F15)</f>
        <v>41600</v>
      </c>
      <c r="J15" s="33">
        <f>+$J$4</f>
        <v>160888</v>
      </c>
      <c r="O15" s="1">
        <v>9</v>
      </c>
      <c r="P15" s="250" t="s">
        <v>138</v>
      </c>
      <c r="Q15" s="249">
        <f>SUM(Q9:Q14)</f>
        <v>8</v>
      </c>
      <c r="R15" s="73"/>
      <c r="S15" s="74"/>
      <c r="T15" s="75"/>
      <c r="U15" s="75"/>
      <c r="V15" s="75">
        <f>+V10</f>
        <v>52</v>
      </c>
      <c r="W15" s="110">
        <f>SUM(W9:W14)</f>
        <v>176800</v>
      </c>
      <c r="X15" s="78">
        <f>SUM(X9:X14)</f>
        <v>175760</v>
      </c>
      <c r="Y15" s="80"/>
      <c r="Z15" s="80"/>
      <c r="AA15" s="80"/>
      <c r="AB15" s="278">
        <f>+X15/X6</f>
        <v>0.17752100840336135</v>
      </c>
      <c r="AE15" s="1">
        <v>9</v>
      </c>
      <c r="AF15" s="250" t="s">
        <v>138</v>
      </c>
      <c r="AG15" s="249">
        <f>SUM(AG9:AG14)</f>
        <v>10</v>
      </c>
      <c r="AH15" s="73"/>
      <c r="AI15" s="74"/>
      <c r="AJ15" s="75"/>
      <c r="AK15" s="75"/>
      <c r="AL15" s="75">
        <f>+AL10</f>
        <v>52</v>
      </c>
      <c r="AM15" s="110">
        <f>SUM(AM9:AM14)</f>
        <v>176800</v>
      </c>
      <c r="AN15" s="78">
        <f>SUM(AN9:AN14)</f>
        <v>231920</v>
      </c>
      <c r="AO15" s="80"/>
      <c r="AP15" s="80"/>
      <c r="AQ15" s="80"/>
      <c r="AR15" s="278">
        <f>+AN15/AN6</f>
        <v>0.17825739408473221</v>
      </c>
      <c r="AS15" s="293">
        <f>+AR15-SUM((AR9:AR14))</f>
        <v>0</v>
      </c>
      <c r="AU15" s="1">
        <v>9</v>
      </c>
      <c r="AV15" s="250" t="s">
        <v>138</v>
      </c>
      <c r="AW15" s="73">
        <f>SUM(AW9:AW14)</f>
        <v>3.25</v>
      </c>
      <c r="AX15" s="73"/>
      <c r="AY15" s="74"/>
      <c r="AZ15" s="75"/>
      <c r="BA15" s="75"/>
      <c r="BB15" s="75">
        <f>+BB10</f>
        <v>52</v>
      </c>
      <c r="BC15" s="110">
        <f>SUM(BC9:BC14)</f>
        <v>176800</v>
      </c>
      <c r="BD15" s="78">
        <f>SUM(BD9:BD14)</f>
        <v>67080</v>
      </c>
      <c r="BE15" s="80"/>
      <c r="BF15" s="80"/>
      <c r="BG15" s="80"/>
      <c r="BH15" s="278">
        <f>+BD15/BD6</f>
        <v>0.18067226890756302</v>
      </c>
      <c r="BI15" s="293">
        <f>+BH15-SUM((BH9:BH14))</f>
        <v>0</v>
      </c>
    </row>
    <row r="16" spans="1:61" x14ac:dyDescent="0.25">
      <c r="A16" s="1">
        <v>7</v>
      </c>
      <c r="B16" s="65" t="s">
        <v>82</v>
      </c>
      <c r="C16" s="15">
        <v>1</v>
      </c>
      <c r="D16" s="66">
        <v>8</v>
      </c>
      <c r="E16" s="67" t="s">
        <v>13</v>
      </c>
      <c r="F16" s="27">
        <f>+F15</f>
        <v>2080</v>
      </c>
      <c r="G16" s="69">
        <f>+G4</f>
        <v>0.65</v>
      </c>
      <c r="H16" s="29">
        <f>+H4</f>
        <v>1352</v>
      </c>
      <c r="I16" s="68">
        <f>+C16*(+D16*H16)</f>
        <v>10816</v>
      </c>
      <c r="P16" s="115" t="s">
        <v>50</v>
      </c>
      <c r="Q16" s="116"/>
      <c r="R16" s="117" t="s">
        <v>88</v>
      </c>
      <c r="S16" s="118"/>
      <c r="T16" s="119"/>
      <c r="U16" s="263" t="s">
        <v>89</v>
      </c>
      <c r="V16" s="264">
        <f>+AA6</f>
        <v>128710.40000000001</v>
      </c>
      <c r="W16" s="121">
        <f>+AA6-X15</f>
        <v>-47049.599999999991</v>
      </c>
      <c r="X16" s="122">
        <f>+W16/AA6</f>
        <v>-0.36554621848739488</v>
      </c>
      <c r="Z16" s="281"/>
      <c r="AA16" s="281"/>
      <c r="AB16" s="282" t="s">
        <v>164</v>
      </c>
      <c r="AF16" s="115" t="s">
        <v>50</v>
      </c>
      <c r="AG16" s="116"/>
      <c r="AH16" s="117" t="s">
        <v>88</v>
      </c>
      <c r="AI16" s="118"/>
      <c r="AJ16" s="119"/>
      <c r="AK16" s="263" t="s">
        <v>89</v>
      </c>
      <c r="AL16" s="264">
        <f>+AQ6</f>
        <v>169135.2</v>
      </c>
      <c r="AM16" s="121">
        <f>+AQ6-AN15</f>
        <v>-62784.799999999988</v>
      </c>
      <c r="AN16" s="122">
        <f>+AM16/AQ6</f>
        <v>-0.37121072372870922</v>
      </c>
      <c r="AP16" s="281"/>
      <c r="AQ16" s="281"/>
      <c r="AR16" s="282" t="s">
        <v>164</v>
      </c>
      <c r="AV16" s="115" t="s">
        <v>50</v>
      </c>
      <c r="AW16" s="116"/>
      <c r="AX16" s="117" t="s">
        <v>88</v>
      </c>
      <c r="AY16" s="118"/>
      <c r="AZ16" s="119"/>
      <c r="BA16" s="263" t="s">
        <v>89</v>
      </c>
      <c r="BB16" s="264">
        <f>+BG6</f>
        <v>48266.400000000001</v>
      </c>
      <c r="BC16" s="121">
        <f>+BG6-BD15</f>
        <v>-18813.599999999999</v>
      </c>
      <c r="BD16" s="122">
        <f>+BC16/BG6</f>
        <v>-0.38978668390433091</v>
      </c>
      <c r="BF16" s="281"/>
      <c r="BG16" s="281"/>
      <c r="BH16" s="282" t="s">
        <v>164</v>
      </c>
    </row>
    <row r="17" spans="1:61" x14ac:dyDescent="0.25">
      <c r="A17" s="1">
        <v>8</v>
      </c>
      <c r="B17" s="65" t="s">
        <v>48</v>
      </c>
      <c r="C17" s="15">
        <v>1</v>
      </c>
      <c r="D17" s="66">
        <v>8</v>
      </c>
      <c r="E17" s="67" t="s">
        <v>13</v>
      </c>
      <c r="F17" s="27">
        <f>+F15</f>
        <v>2080</v>
      </c>
      <c r="G17" s="69">
        <f>+G5</f>
        <v>0.65</v>
      </c>
      <c r="H17" s="29">
        <f>+H5</f>
        <v>1352</v>
      </c>
      <c r="I17" s="68">
        <f>+C17*(+D17*H17)</f>
        <v>10816</v>
      </c>
      <c r="J17" s="70">
        <f>+$J$5</f>
        <v>160888</v>
      </c>
      <c r="P17" s="21"/>
      <c r="Q17" s="21"/>
      <c r="T17" s="81"/>
      <c r="U17" s="32"/>
      <c r="AF17" s="21"/>
      <c r="AG17" s="21"/>
      <c r="AJ17" s="81"/>
      <c r="AK17" s="32"/>
      <c r="AV17" s="21"/>
      <c r="AW17" s="21"/>
      <c r="AZ17" s="81"/>
      <c r="BA17" s="32"/>
    </row>
    <row r="18" spans="1:61" x14ac:dyDescent="0.25">
      <c r="A18" s="1">
        <v>9</v>
      </c>
      <c r="B18" s="71" t="s">
        <v>91</v>
      </c>
      <c r="C18" s="72">
        <f>+C4</f>
        <v>1</v>
      </c>
      <c r="D18" s="73"/>
      <c r="E18" s="74"/>
      <c r="F18" s="75">
        <f>+F15</f>
        <v>2080</v>
      </c>
      <c r="G18" s="76">
        <f>SUM(G16:G17)</f>
        <v>1.3</v>
      </c>
      <c r="H18" s="77">
        <f>SUM(H16:H17)</f>
        <v>2704</v>
      </c>
      <c r="I18" s="78">
        <f>SUM(I15:I17)</f>
        <v>63232</v>
      </c>
      <c r="J18" s="79">
        <f>SUM(J15:J17)</f>
        <v>321776</v>
      </c>
      <c r="K18" s="80">
        <f>+I18/J18</f>
        <v>0.19650937297996121</v>
      </c>
      <c r="P18" s="21"/>
      <c r="Q18" s="21"/>
      <c r="T18" s="81"/>
      <c r="U18" s="32"/>
      <c r="AF18" s="21"/>
      <c r="AG18" s="21"/>
      <c r="AJ18" s="81"/>
      <c r="AK18" s="32"/>
      <c r="AV18" s="21"/>
      <c r="AW18" s="21"/>
      <c r="AZ18" s="81"/>
      <c r="BA18" s="32"/>
    </row>
    <row r="19" spans="1:61" ht="14.4" customHeight="1" x14ac:dyDescent="0.25">
      <c r="F19" s="81"/>
      <c r="G19" s="32"/>
      <c r="O19" s="1">
        <v>10</v>
      </c>
      <c r="P19" s="21"/>
      <c r="Q19" s="21"/>
      <c r="T19" s="81"/>
      <c r="U19" s="272"/>
      <c r="V19" s="273"/>
      <c r="W19" s="274" t="s">
        <v>145</v>
      </c>
      <c r="X19" s="270">
        <f>+Q15</f>
        <v>8</v>
      </c>
      <c r="Y19" s="32"/>
      <c r="AE19" s="1">
        <v>10</v>
      </c>
      <c r="AF19" s="21"/>
      <c r="AG19" s="21"/>
      <c r="AJ19" s="81"/>
      <c r="AK19" s="272"/>
      <c r="AL19" s="273"/>
      <c r="AM19" s="274" t="s">
        <v>145</v>
      </c>
      <c r="AN19" s="270">
        <f>+AG15</f>
        <v>10</v>
      </c>
      <c r="AO19" s="32"/>
      <c r="AU19" s="1">
        <v>10</v>
      </c>
      <c r="AV19" s="21"/>
      <c r="AW19" s="21"/>
      <c r="AZ19" s="81"/>
      <c r="BA19" s="272"/>
      <c r="BB19" s="273"/>
      <c r="BC19" s="274" t="s">
        <v>145</v>
      </c>
      <c r="BD19" s="314">
        <f>+AW15</f>
        <v>3.25</v>
      </c>
      <c r="BE19" s="32"/>
    </row>
    <row r="20" spans="1:61" ht="75" customHeight="1" thickBot="1" x14ac:dyDescent="0.35">
      <c r="A20" s="1">
        <v>10</v>
      </c>
      <c r="B20" s="65" t="str">
        <f>+B5</f>
        <v>Type 1 Apprentice</v>
      </c>
      <c r="C20" s="15">
        <f>+C5</f>
        <v>1</v>
      </c>
      <c r="D20" s="66">
        <v>12</v>
      </c>
      <c r="E20" s="20" t="s">
        <v>13</v>
      </c>
      <c r="F20" s="82">
        <v>2080</v>
      </c>
      <c r="G20" s="49"/>
      <c r="H20" s="67"/>
      <c r="I20" s="68">
        <f>+C20*(+D20*F20)</f>
        <v>24960</v>
      </c>
      <c r="O20" s="1">
        <v>11</v>
      </c>
      <c r="P20" s="290" t="s">
        <v>141</v>
      </c>
      <c r="Q20" s="203" t="s">
        <v>148</v>
      </c>
      <c r="R20" s="203" t="s">
        <v>142</v>
      </c>
      <c r="S20" s="204" t="s">
        <v>42</v>
      </c>
      <c r="T20" s="204" t="s">
        <v>149</v>
      </c>
      <c r="U20" s="203" t="s">
        <v>146</v>
      </c>
      <c r="V20" s="204" t="s">
        <v>143</v>
      </c>
      <c r="W20" s="204" t="s">
        <v>158</v>
      </c>
      <c r="X20" s="204" t="s">
        <v>159</v>
      </c>
      <c r="Y20" s="260" t="s">
        <v>144</v>
      </c>
      <c r="Z20" s="204" t="s">
        <v>160</v>
      </c>
      <c r="AA20" s="204" t="s">
        <v>147</v>
      </c>
      <c r="AB20" s="204" t="s">
        <v>4</v>
      </c>
      <c r="AC20" s="204" t="s">
        <v>154</v>
      </c>
      <c r="AE20" s="1">
        <v>11</v>
      </c>
      <c r="AF20" s="290" t="s">
        <v>141</v>
      </c>
      <c r="AG20" s="203" t="s">
        <v>148</v>
      </c>
      <c r="AH20" s="203" t="s">
        <v>142</v>
      </c>
      <c r="AI20" s="204" t="s">
        <v>42</v>
      </c>
      <c r="AJ20" s="204" t="s">
        <v>149</v>
      </c>
      <c r="AK20" s="203" t="s">
        <v>146</v>
      </c>
      <c r="AL20" s="204" t="s">
        <v>143</v>
      </c>
      <c r="AM20" s="204" t="s">
        <v>158</v>
      </c>
      <c r="AN20" s="204" t="s">
        <v>159</v>
      </c>
      <c r="AO20" s="260" t="s">
        <v>144</v>
      </c>
      <c r="AP20" s="204" t="s">
        <v>160</v>
      </c>
      <c r="AQ20" s="204" t="s">
        <v>147</v>
      </c>
      <c r="AR20" s="204" t="s">
        <v>4</v>
      </c>
      <c r="AS20" s="204" t="s">
        <v>154</v>
      </c>
      <c r="AU20" s="1">
        <v>11</v>
      </c>
      <c r="AV20" s="290" t="s">
        <v>141</v>
      </c>
      <c r="AW20" s="203" t="s">
        <v>189</v>
      </c>
      <c r="AX20" s="203" t="s">
        <v>142</v>
      </c>
      <c r="AY20" s="204" t="s">
        <v>42</v>
      </c>
      <c r="AZ20" s="204" t="s">
        <v>149</v>
      </c>
      <c r="BA20" s="203" t="s">
        <v>146</v>
      </c>
      <c r="BB20" s="204" t="s">
        <v>143</v>
      </c>
      <c r="BC20" s="204" t="s">
        <v>158</v>
      </c>
      <c r="BD20" s="204" t="s">
        <v>159</v>
      </c>
      <c r="BE20" s="260" t="s">
        <v>144</v>
      </c>
      <c r="BF20" s="204" t="s">
        <v>160</v>
      </c>
      <c r="BG20" s="204" t="s">
        <v>147</v>
      </c>
      <c r="BH20" s="204" t="s">
        <v>4</v>
      </c>
      <c r="BI20" s="204" t="s">
        <v>154</v>
      </c>
    </row>
    <row r="21" spans="1:61" x14ac:dyDescent="0.25">
      <c r="A21" s="1">
        <v>11</v>
      </c>
      <c r="B21" s="65" t="s">
        <v>115</v>
      </c>
      <c r="C21" s="15">
        <v>1</v>
      </c>
      <c r="D21" s="66">
        <v>2</v>
      </c>
      <c r="E21" s="67" t="s">
        <v>13</v>
      </c>
      <c r="F21" s="27">
        <f>+F15</f>
        <v>2080</v>
      </c>
      <c r="G21" s="69">
        <f>+G17</f>
        <v>0.65</v>
      </c>
      <c r="H21" s="29">
        <f>+C21*F21*G21</f>
        <v>1352</v>
      </c>
      <c r="I21" s="68">
        <f>+D21*H21</f>
        <v>2704</v>
      </c>
      <c r="K21" s="83"/>
      <c r="O21" s="1">
        <v>12</v>
      </c>
      <c r="P21" s="253"/>
      <c r="Q21" s="283">
        <v>0.5</v>
      </c>
      <c r="R21" s="286">
        <f>+R$4*Q21</f>
        <v>20</v>
      </c>
      <c r="S21" s="258">
        <f>+W$3</f>
        <v>119</v>
      </c>
      <c r="T21" s="265">
        <f>+Q$6</f>
        <v>8</v>
      </c>
      <c r="U21" s="254">
        <f>(+R21-(R$4*U$4))*S21*T21</f>
        <v>0</v>
      </c>
      <c r="V21" s="268">
        <v>0.75</v>
      </c>
      <c r="W21" s="212">
        <f>+R21*V21</f>
        <v>15</v>
      </c>
      <c r="X21" s="254">
        <f>+W21*4.33</f>
        <v>64.95</v>
      </c>
      <c r="Y21" s="254">
        <f>+X21*X$19</f>
        <v>519.6</v>
      </c>
      <c r="Z21" s="258">
        <f>+X$6+(U21*52)</f>
        <v>990080</v>
      </c>
      <c r="AA21" s="211">
        <f>+X$15+(Y21*12)</f>
        <v>181995.2</v>
      </c>
      <c r="AB21" s="275">
        <f>+AA21/Z21</f>
        <v>0.18381868131868134</v>
      </c>
      <c r="AC21" s="275">
        <f>+$K$31+AB21</f>
        <v>0.48414967255031716</v>
      </c>
      <c r="AE21" s="1">
        <v>12</v>
      </c>
      <c r="AF21" s="253"/>
      <c r="AG21" s="283">
        <v>0.5</v>
      </c>
      <c r="AH21" s="286">
        <f>+AH$4*AG21</f>
        <v>20</v>
      </c>
      <c r="AI21" s="258">
        <f>+AM$3</f>
        <v>139</v>
      </c>
      <c r="AJ21" s="265">
        <f>+AG$6</f>
        <v>9</v>
      </c>
      <c r="AK21" s="254">
        <f>(+AH21-(AH$4*AK$4))*AI21*AJ21</f>
        <v>0</v>
      </c>
      <c r="AL21" s="268">
        <v>0.75</v>
      </c>
      <c r="AM21" s="212">
        <f>+AH21*AL21</f>
        <v>15</v>
      </c>
      <c r="AN21" s="254">
        <f>+AM21*4.33</f>
        <v>64.95</v>
      </c>
      <c r="AO21" s="254">
        <f>+AN21*AN$19</f>
        <v>649.5</v>
      </c>
      <c r="AP21" s="258">
        <f>+AN$6+(AK21*52)</f>
        <v>1301040</v>
      </c>
      <c r="AQ21" s="258">
        <f>+AN$15+(AO21*12)</f>
        <v>239714</v>
      </c>
      <c r="AR21" s="275">
        <f>+AQ21/AP21</f>
        <v>0.18424798622640348</v>
      </c>
      <c r="AS21" s="275">
        <f>+$K$31+AR21</f>
        <v>0.4845789774580393</v>
      </c>
      <c r="AU21" s="1">
        <v>12</v>
      </c>
      <c r="AV21" s="253"/>
      <c r="AW21" s="283">
        <v>0.5</v>
      </c>
      <c r="AX21" s="286">
        <f>+AX$4*AW21</f>
        <v>20</v>
      </c>
      <c r="AY21" s="258">
        <f>+BC$3</f>
        <v>119</v>
      </c>
      <c r="AZ21" s="265">
        <f>+AW$6</f>
        <v>3</v>
      </c>
      <c r="BA21" s="254">
        <f>(+AX21-(AX$4*BA$4))*AY21*AZ21</f>
        <v>0</v>
      </c>
      <c r="BB21" s="268">
        <v>0.75</v>
      </c>
      <c r="BC21" s="212">
        <f>+AX21*BB21</f>
        <v>15</v>
      </c>
      <c r="BD21" s="254">
        <f>+BC21*4.33</f>
        <v>64.95</v>
      </c>
      <c r="BE21" s="254">
        <f>+BD21*BD$19</f>
        <v>211.08750000000001</v>
      </c>
      <c r="BF21" s="258">
        <f>+BD$6+(BA21*52)</f>
        <v>371280</v>
      </c>
      <c r="BG21" s="258">
        <f>+BD$15+(BE21*12)</f>
        <v>69613.05</v>
      </c>
      <c r="BH21" s="275">
        <f>+BG21/BF21</f>
        <v>0.18749474789915968</v>
      </c>
      <c r="BI21" s="275">
        <f>+$K$31+BH21</f>
        <v>0.48782573913079552</v>
      </c>
    </row>
    <row r="22" spans="1:61" x14ac:dyDescent="0.25">
      <c r="A22" s="1">
        <v>12</v>
      </c>
      <c r="B22" s="84" t="s">
        <v>94</v>
      </c>
      <c r="C22" s="85">
        <f>+C20</f>
        <v>1</v>
      </c>
      <c r="D22" s="86"/>
      <c r="E22" s="87"/>
      <c r="F22" s="88">
        <v>2080</v>
      </c>
      <c r="G22" s="89"/>
      <c r="H22" s="90"/>
      <c r="I22" s="91">
        <f>SUM(I20:I21)</f>
        <v>27664</v>
      </c>
      <c r="J22" s="91">
        <f>+J18</f>
        <v>321776</v>
      </c>
      <c r="K22" s="92">
        <f>+I22/J22</f>
        <v>8.5972850678733032E-2</v>
      </c>
      <c r="O22" s="1">
        <v>13</v>
      </c>
      <c r="P22" s="288"/>
      <c r="Q22" s="283">
        <f>+Q21+0.1</f>
        <v>0.6</v>
      </c>
      <c r="R22" s="286">
        <f t="shared" ref="R22:R29" si="12">+R$4*Q22</f>
        <v>24</v>
      </c>
      <c r="S22" s="258">
        <f t="shared" ref="S22:S29" si="13">+W$3</f>
        <v>119</v>
      </c>
      <c r="T22" s="265">
        <f t="shared" ref="T22:T28" si="14">+Q$6</f>
        <v>8</v>
      </c>
      <c r="U22" s="254">
        <f>(+R22-(R$4*U$4))*S22*T22</f>
        <v>3808</v>
      </c>
      <c r="V22" s="268">
        <f>+V21+0.75</f>
        <v>1.5</v>
      </c>
      <c r="W22" s="212">
        <f>+R22*V22</f>
        <v>36</v>
      </c>
      <c r="X22" s="254">
        <f>+W22*4.33</f>
        <v>155.88</v>
      </c>
      <c r="Y22" s="254">
        <f>+X22*X$19</f>
        <v>1247.04</v>
      </c>
      <c r="Z22" s="258">
        <f>+X$6+(U22*52)</f>
        <v>1188096</v>
      </c>
      <c r="AA22" s="258">
        <f>+X$15+(Y22*12)</f>
        <v>190724.48000000001</v>
      </c>
      <c r="AB22" s="275">
        <f t="shared" ref="AB22:AC28" si="15">+AA22/Z22</f>
        <v>0.16052951950010774</v>
      </c>
      <c r="AC22" s="275">
        <f t="shared" ref="AC22:AC29" si="16">+$K$31+AB22</f>
        <v>0.46086051073174356</v>
      </c>
      <c r="AE22" s="1">
        <v>13</v>
      </c>
      <c r="AF22" s="288"/>
      <c r="AG22" s="283">
        <f>+AG21+0.1</f>
        <v>0.6</v>
      </c>
      <c r="AH22" s="286">
        <f t="shared" ref="AH22:AH29" si="17">+AH$4*AG22</f>
        <v>24</v>
      </c>
      <c r="AI22" s="258">
        <f t="shared" ref="AI22:AI29" si="18">+AM$3</f>
        <v>139</v>
      </c>
      <c r="AJ22" s="265">
        <f t="shared" ref="AJ22:AJ29" si="19">+AG$6</f>
        <v>9</v>
      </c>
      <c r="AK22" s="254">
        <f>(+AH22-(AH$4*AK$4))*AI22*AJ22</f>
        <v>5004</v>
      </c>
      <c r="AL22" s="268">
        <f>+AL21+0.75</f>
        <v>1.5</v>
      </c>
      <c r="AM22" s="212">
        <f>+AH22*AL22</f>
        <v>36</v>
      </c>
      <c r="AN22" s="254">
        <f>+AM22*4.33</f>
        <v>155.88</v>
      </c>
      <c r="AO22" s="254">
        <f>+AN22*AN$19</f>
        <v>1558.8</v>
      </c>
      <c r="AP22" s="258">
        <f>+AN$6+(AK22*52)</f>
        <v>1561248</v>
      </c>
      <c r="AQ22" s="258">
        <f>+AN$15+(AO22*12)</f>
        <v>250625.6</v>
      </c>
      <c r="AR22" s="275">
        <f t="shared" ref="AR22:AR25" si="20">+AQ22/AP22</f>
        <v>0.16052901268728606</v>
      </c>
      <c r="AS22" s="275">
        <f t="shared" ref="AS22:AS29" si="21">+$K$31+AR22</f>
        <v>0.4608600039189219</v>
      </c>
      <c r="AU22" s="1">
        <v>13</v>
      </c>
      <c r="AV22" s="288"/>
      <c r="AW22" s="283">
        <f>+AW21+0.1</f>
        <v>0.6</v>
      </c>
      <c r="AX22" s="286">
        <f t="shared" ref="AX22:AX29" si="22">+AX$4*AW22</f>
        <v>24</v>
      </c>
      <c r="AY22" s="258">
        <f t="shared" ref="AY22:AY29" si="23">+BC$3</f>
        <v>119</v>
      </c>
      <c r="AZ22" s="265">
        <f t="shared" ref="AZ22:AZ29" si="24">+AW$6</f>
        <v>3</v>
      </c>
      <c r="BA22" s="254">
        <f>(+AX22-(AX$4*BA$4))*AY22*AZ22</f>
        <v>1428</v>
      </c>
      <c r="BB22" s="268">
        <f>+BB21+0.75</f>
        <v>1.5</v>
      </c>
      <c r="BC22" s="212">
        <f>+AX22*BB22</f>
        <v>36</v>
      </c>
      <c r="BD22" s="254">
        <f>+BC22*4.33</f>
        <v>155.88</v>
      </c>
      <c r="BE22" s="254">
        <f>+BD22*BD$19</f>
        <v>506.61</v>
      </c>
      <c r="BF22" s="258">
        <f>+BD$6+(BA22*52)</f>
        <v>445536</v>
      </c>
      <c r="BG22" s="258">
        <f>+BD$15+(BE22*12)</f>
        <v>73159.320000000007</v>
      </c>
      <c r="BH22" s="275">
        <f t="shared" ref="BH22:BH25" si="25">+BG22/BF22</f>
        <v>0.16420518207282914</v>
      </c>
      <c r="BI22" s="275">
        <f t="shared" ref="BI22:BI29" si="26">+$K$31+BH22</f>
        <v>0.46453617330446495</v>
      </c>
    </row>
    <row r="23" spans="1:61" ht="14.4" thickBot="1" x14ac:dyDescent="0.3">
      <c r="A23" s="1">
        <v>13</v>
      </c>
      <c r="B23" s="93" t="s">
        <v>92</v>
      </c>
      <c r="C23" s="94">
        <f>+C18+C22</f>
        <v>2</v>
      </c>
      <c r="D23" s="95"/>
      <c r="E23" s="96"/>
      <c r="F23" s="97">
        <f>+F22+F18</f>
        <v>4160</v>
      </c>
      <c r="G23" s="98">
        <f>+J23/I3/F23</f>
        <v>0.65</v>
      </c>
      <c r="H23" s="99">
        <f>+H18</f>
        <v>2704</v>
      </c>
      <c r="I23" s="100">
        <f>+I18+I22</f>
        <v>90896</v>
      </c>
      <c r="J23" s="101">
        <f>+J18</f>
        <v>321776</v>
      </c>
      <c r="K23" s="102">
        <f>+I23/J23</f>
        <v>0.28248222365869424</v>
      </c>
      <c r="O23" s="1">
        <v>14</v>
      </c>
      <c r="P23" s="297"/>
      <c r="Q23" s="298">
        <f t="shared" ref="Q23:Q29" si="27">+Q22+0.1</f>
        <v>0.7</v>
      </c>
      <c r="R23" s="285">
        <f t="shared" si="12"/>
        <v>28</v>
      </c>
      <c r="S23" s="299">
        <f t="shared" si="13"/>
        <v>119</v>
      </c>
      <c r="T23" s="300">
        <f t="shared" si="14"/>
        <v>8</v>
      </c>
      <c r="U23" s="301">
        <f t="shared" ref="U23:U29" si="28">(+R23-(R$4*U$4))*S23*T23</f>
        <v>7616</v>
      </c>
      <c r="V23" s="267">
        <f t="shared" ref="V23:V29" si="29">+V22+0.75</f>
        <v>2.25</v>
      </c>
      <c r="W23" s="302">
        <f t="shared" ref="W23:W25" si="30">+R23*V23</f>
        <v>63</v>
      </c>
      <c r="X23" s="301">
        <f t="shared" ref="X23:X29" si="31">+W23*4.33</f>
        <v>272.79000000000002</v>
      </c>
      <c r="Y23" s="301">
        <f>+X23*X$19</f>
        <v>2182.3200000000002</v>
      </c>
      <c r="Z23" s="299">
        <f t="shared" ref="Z23:Z28" si="32">+X$6+(U23*52)</f>
        <v>1386112</v>
      </c>
      <c r="AA23" s="299">
        <f>+X$15+(Y23*12)</f>
        <v>201947.84</v>
      </c>
      <c r="AB23" s="303">
        <f t="shared" si="15"/>
        <v>0.14569373903407518</v>
      </c>
      <c r="AC23" s="303">
        <f t="shared" si="16"/>
        <v>0.44602473026571099</v>
      </c>
      <c r="AE23" s="1">
        <v>14</v>
      </c>
      <c r="AF23" s="297"/>
      <c r="AG23" s="298">
        <f t="shared" ref="AG23:AG29" si="33">+AG22+0.1</f>
        <v>0.7</v>
      </c>
      <c r="AH23" s="285">
        <f t="shared" si="17"/>
        <v>28</v>
      </c>
      <c r="AI23" s="299">
        <f t="shared" si="18"/>
        <v>139</v>
      </c>
      <c r="AJ23" s="300">
        <f t="shared" si="19"/>
        <v>9</v>
      </c>
      <c r="AK23" s="301">
        <f t="shared" ref="AK23:AK29" si="34">(+AH23-(AH$4*AK$4))*AI23*AJ23</f>
        <v>10008</v>
      </c>
      <c r="AL23" s="267">
        <f t="shared" ref="AL23:AL29" si="35">+AL22+0.75</f>
        <v>2.25</v>
      </c>
      <c r="AM23" s="302">
        <f t="shared" ref="AM23:AM25" si="36">+AH23*AL23</f>
        <v>63</v>
      </c>
      <c r="AN23" s="301">
        <f t="shared" ref="AN23:AN29" si="37">+AM23*4.33</f>
        <v>272.79000000000002</v>
      </c>
      <c r="AO23" s="301">
        <f>+AN23*AN$19</f>
        <v>2727.9</v>
      </c>
      <c r="AP23" s="299">
        <f t="shared" ref="AP23:AP28" si="38">+AN$6+(AK23*52)</f>
        <v>1821456</v>
      </c>
      <c r="AQ23" s="299">
        <f>+AN$15+(AO23*12)</f>
        <v>264654.8</v>
      </c>
      <c r="AR23" s="303">
        <f t="shared" si="20"/>
        <v>0.14529848648553684</v>
      </c>
      <c r="AS23" s="303">
        <f t="shared" si="21"/>
        <v>0.44562947771717265</v>
      </c>
      <c r="AU23" s="1">
        <v>14</v>
      </c>
      <c r="AV23" s="297"/>
      <c r="AW23" s="298">
        <f t="shared" ref="AW23:AW29" si="39">+AW22+0.1</f>
        <v>0.7</v>
      </c>
      <c r="AX23" s="285">
        <f t="shared" si="22"/>
        <v>28</v>
      </c>
      <c r="AY23" s="299">
        <f t="shared" si="23"/>
        <v>119</v>
      </c>
      <c r="AZ23" s="300">
        <f t="shared" si="24"/>
        <v>3</v>
      </c>
      <c r="BA23" s="301">
        <f t="shared" ref="BA23:BA29" si="40">(+AX23-(AX$4*BA$4))*AY23*AZ23</f>
        <v>2856</v>
      </c>
      <c r="BB23" s="267">
        <f t="shared" ref="BB23:BB29" si="41">+BB22+0.75</f>
        <v>2.25</v>
      </c>
      <c r="BC23" s="302">
        <f t="shared" ref="BC23:BC25" si="42">+AX23*BB23</f>
        <v>63</v>
      </c>
      <c r="BD23" s="301">
        <f t="shared" ref="BD23:BD29" si="43">+BC23*4.33</f>
        <v>272.79000000000002</v>
      </c>
      <c r="BE23" s="301">
        <f>+BD23*BD$19</f>
        <v>886.56750000000011</v>
      </c>
      <c r="BF23" s="299">
        <f t="shared" ref="BF23:BF28" si="44">+BD$6+(BA23*52)</f>
        <v>519792</v>
      </c>
      <c r="BG23" s="299">
        <f>+BD$15+(BE23*12)</f>
        <v>77718.81</v>
      </c>
      <c r="BH23" s="303">
        <f t="shared" si="25"/>
        <v>0.14951905762304921</v>
      </c>
      <c r="BI23" s="303">
        <f t="shared" si="26"/>
        <v>0.44985004885468505</v>
      </c>
    </row>
    <row r="24" spans="1:61" ht="14.4" thickTop="1" x14ac:dyDescent="0.25">
      <c r="B24" s="43"/>
      <c r="C24" s="44"/>
      <c r="D24" s="44"/>
      <c r="E24" s="67"/>
      <c r="F24" s="81"/>
      <c r="G24" s="49"/>
      <c r="H24" s="43"/>
      <c r="I24" s="103"/>
      <c r="J24" s="104"/>
      <c r="O24" s="1">
        <v>15</v>
      </c>
      <c r="P24" s="288"/>
      <c r="Q24" s="315">
        <f t="shared" si="27"/>
        <v>0.79999999999999993</v>
      </c>
      <c r="R24" s="286">
        <f t="shared" si="12"/>
        <v>31.999999999999996</v>
      </c>
      <c r="S24" s="316">
        <f t="shared" si="13"/>
        <v>119</v>
      </c>
      <c r="T24" s="317">
        <f t="shared" si="14"/>
        <v>8</v>
      </c>
      <c r="U24" s="318">
        <f t="shared" si="28"/>
        <v>11423.999999999996</v>
      </c>
      <c r="V24" s="256">
        <f t="shared" si="29"/>
        <v>3</v>
      </c>
      <c r="W24" s="319">
        <f t="shared" si="30"/>
        <v>95.999999999999986</v>
      </c>
      <c r="X24" s="318">
        <f t="shared" si="31"/>
        <v>415.67999999999995</v>
      </c>
      <c r="Y24" s="318">
        <f>+X24*X$19</f>
        <v>3325.4399999999996</v>
      </c>
      <c r="Z24" s="316">
        <f t="shared" si="32"/>
        <v>1584127.9999999998</v>
      </c>
      <c r="AA24" s="316">
        <f>+X$15+(Y24*12)</f>
        <v>215665.28</v>
      </c>
      <c r="AB24" s="320">
        <f t="shared" si="15"/>
        <v>0.13614132191338077</v>
      </c>
      <c r="AC24" s="320">
        <f t="shared" si="16"/>
        <v>0.43647231314501655</v>
      </c>
      <c r="AE24" s="1">
        <v>15</v>
      </c>
      <c r="AF24" s="288"/>
      <c r="AG24" s="283">
        <f t="shared" si="33"/>
        <v>0.79999999999999993</v>
      </c>
      <c r="AH24" s="286">
        <f t="shared" si="17"/>
        <v>31.999999999999996</v>
      </c>
      <c r="AI24" s="258">
        <f t="shared" si="18"/>
        <v>139</v>
      </c>
      <c r="AJ24" s="265">
        <f t="shared" si="19"/>
        <v>9</v>
      </c>
      <c r="AK24" s="254">
        <f t="shared" si="34"/>
        <v>15011.999999999996</v>
      </c>
      <c r="AL24" s="268">
        <f t="shared" si="35"/>
        <v>3</v>
      </c>
      <c r="AM24" s="212">
        <f t="shared" si="36"/>
        <v>95.999999999999986</v>
      </c>
      <c r="AN24" s="254">
        <f t="shared" si="37"/>
        <v>415.67999999999995</v>
      </c>
      <c r="AO24" s="254">
        <f>+AN24*AN$19</f>
        <v>4156.7999999999993</v>
      </c>
      <c r="AP24" s="258">
        <f t="shared" si="38"/>
        <v>2081663.9999999998</v>
      </c>
      <c r="AQ24" s="258">
        <f>+AN$15+(AO24*12)</f>
        <v>281801.59999999998</v>
      </c>
      <c r="AR24" s="275">
        <f t="shared" si="20"/>
        <v>0.13537323986964275</v>
      </c>
      <c r="AS24" s="275">
        <f t="shared" si="21"/>
        <v>0.43570423110127854</v>
      </c>
      <c r="AU24" s="1">
        <v>15</v>
      </c>
      <c r="AV24" s="288"/>
      <c r="AW24" s="283">
        <f t="shared" si="39"/>
        <v>0.79999999999999993</v>
      </c>
      <c r="AX24" s="286">
        <f t="shared" si="22"/>
        <v>31.999999999999996</v>
      </c>
      <c r="AY24" s="258">
        <f t="shared" si="23"/>
        <v>119</v>
      </c>
      <c r="AZ24" s="265">
        <f t="shared" si="24"/>
        <v>3</v>
      </c>
      <c r="BA24" s="254">
        <f t="shared" si="40"/>
        <v>4283.9999999999982</v>
      </c>
      <c r="BB24" s="268">
        <f t="shared" si="41"/>
        <v>3</v>
      </c>
      <c r="BC24" s="212">
        <f t="shared" si="42"/>
        <v>95.999999999999986</v>
      </c>
      <c r="BD24" s="254">
        <f t="shared" si="43"/>
        <v>415.67999999999995</v>
      </c>
      <c r="BE24" s="254">
        <f>+BD24*BD$19</f>
        <v>1350.9599999999998</v>
      </c>
      <c r="BF24" s="258">
        <f t="shared" si="44"/>
        <v>594047.99999999988</v>
      </c>
      <c r="BG24" s="258">
        <f>+BD$15+(BE24*12)</f>
        <v>83291.51999999999</v>
      </c>
      <c r="BH24" s="275">
        <f t="shared" si="25"/>
        <v>0.14021008403361346</v>
      </c>
      <c r="BI24" s="275">
        <f t="shared" si="26"/>
        <v>0.44054107526524927</v>
      </c>
    </row>
    <row r="25" spans="1:61" x14ac:dyDescent="0.25">
      <c r="A25" s="1">
        <v>14</v>
      </c>
      <c r="B25" s="65" t="str">
        <f>+B8</f>
        <v xml:space="preserve">Type 2 Techs </v>
      </c>
      <c r="C25" s="15">
        <f>+C8</f>
        <v>1</v>
      </c>
      <c r="D25" s="66">
        <v>18</v>
      </c>
      <c r="E25" s="20" t="s">
        <v>13</v>
      </c>
      <c r="F25" s="82">
        <v>2080</v>
      </c>
      <c r="G25" s="49"/>
      <c r="H25" s="67"/>
      <c r="I25" s="68">
        <f>+C25*(+D25*F25)</f>
        <v>37440</v>
      </c>
      <c r="O25" s="1">
        <v>16</v>
      </c>
      <c r="P25" s="288"/>
      <c r="Q25" s="283">
        <f t="shared" si="27"/>
        <v>0.89999999999999991</v>
      </c>
      <c r="R25" s="286">
        <f t="shared" si="12"/>
        <v>36</v>
      </c>
      <c r="S25" s="258">
        <f t="shared" si="13"/>
        <v>119</v>
      </c>
      <c r="T25" s="265">
        <f t="shared" si="14"/>
        <v>8</v>
      </c>
      <c r="U25" s="254">
        <f t="shared" si="28"/>
        <v>15232</v>
      </c>
      <c r="V25" s="268">
        <f t="shared" si="29"/>
        <v>3.75</v>
      </c>
      <c r="W25" s="212">
        <f t="shared" si="30"/>
        <v>135</v>
      </c>
      <c r="X25" s="254">
        <f t="shared" si="31"/>
        <v>584.54999999999995</v>
      </c>
      <c r="Y25" s="254">
        <f>+X25*X$19</f>
        <v>4676.3999999999996</v>
      </c>
      <c r="Z25" s="258">
        <f t="shared" si="32"/>
        <v>1782144</v>
      </c>
      <c r="AA25" s="258">
        <f>+X$15+(Y25*12)</f>
        <v>231876.8</v>
      </c>
      <c r="AB25" s="275">
        <f t="shared" si="15"/>
        <v>0.13011114702291171</v>
      </c>
      <c r="AC25" s="275">
        <f t="shared" si="16"/>
        <v>0.43044213825454752</v>
      </c>
      <c r="AE25" s="1">
        <v>16</v>
      </c>
      <c r="AF25" s="288"/>
      <c r="AG25" s="283">
        <f t="shared" si="33"/>
        <v>0.89999999999999991</v>
      </c>
      <c r="AH25" s="286">
        <f t="shared" si="17"/>
        <v>36</v>
      </c>
      <c r="AI25" s="258">
        <f t="shared" si="18"/>
        <v>139</v>
      </c>
      <c r="AJ25" s="265">
        <f t="shared" si="19"/>
        <v>9</v>
      </c>
      <c r="AK25" s="254">
        <f t="shared" si="34"/>
        <v>20016</v>
      </c>
      <c r="AL25" s="268">
        <f t="shared" si="35"/>
        <v>3.75</v>
      </c>
      <c r="AM25" s="212">
        <f t="shared" si="36"/>
        <v>135</v>
      </c>
      <c r="AN25" s="254">
        <f t="shared" si="37"/>
        <v>584.54999999999995</v>
      </c>
      <c r="AO25" s="254">
        <f>+AN25*AN$19</f>
        <v>5845.5</v>
      </c>
      <c r="AP25" s="258">
        <f t="shared" si="38"/>
        <v>2341872</v>
      </c>
      <c r="AQ25" s="258">
        <f>+AN$15+(AO25*12)</f>
        <v>302066</v>
      </c>
      <c r="AR25" s="275">
        <f t="shared" si="20"/>
        <v>0.12898484631098539</v>
      </c>
      <c r="AS25" s="275">
        <f t="shared" si="21"/>
        <v>0.4293158375426212</v>
      </c>
      <c r="AU25" s="1">
        <v>16</v>
      </c>
      <c r="AV25" s="288"/>
      <c r="AW25" s="283">
        <f t="shared" si="39"/>
        <v>0.89999999999999991</v>
      </c>
      <c r="AX25" s="286">
        <f t="shared" si="22"/>
        <v>36</v>
      </c>
      <c r="AY25" s="258">
        <f t="shared" si="23"/>
        <v>119</v>
      </c>
      <c r="AZ25" s="265">
        <f t="shared" si="24"/>
        <v>3</v>
      </c>
      <c r="BA25" s="254">
        <f t="shared" si="40"/>
        <v>5712</v>
      </c>
      <c r="BB25" s="268">
        <f t="shared" si="41"/>
        <v>3.75</v>
      </c>
      <c r="BC25" s="212">
        <f t="shared" si="42"/>
        <v>135</v>
      </c>
      <c r="BD25" s="254">
        <f t="shared" si="43"/>
        <v>584.54999999999995</v>
      </c>
      <c r="BE25" s="254">
        <f>+BD25*BD$19</f>
        <v>1899.7874999999999</v>
      </c>
      <c r="BF25" s="258">
        <f t="shared" si="44"/>
        <v>668304</v>
      </c>
      <c r="BG25" s="258">
        <f>+BD$15+(BE25*12)</f>
        <v>89877.45</v>
      </c>
      <c r="BH25" s="275">
        <f t="shared" si="25"/>
        <v>0.13448587768440709</v>
      </c>
      <c r="BI25" s="275">
        <f t="shared" si="26"/>
        <v>0.43481686891604288</v>
      </c>
    </row>
    <row r="26" spans="1:61" x14ac:dyDescent="0.25">
      <c r="A26" s="1">
        <v>15</v>
      </c>
      <c r="B26" s="65" t="s">
        <v>82</v>
      </c>
      <c r="C26" s="15"/>
      <c r="D26" s="66">
        <v>4</v>
      </c>
      <c r="E26" s="67" t="s">
        <v>13</v>
      </c>
      <c r="F26" s="27">
        <f>+F20</f>
        <v>2080</v>
      </c>
      <c r="G26" s="69">
        <f>+G8</f>
        <v>0.5</v>
      </c>
      <c r="H26" s="29">
        <f>+F26*G26</f>
        <v>1040</v>
      </c>
      <c r="I26" s="68">
        <f>+C25*(+D26*H26)</f>
        <v>4160</v>
      </c>
      <c r="J26" s="70">
        <f>+$J$8</f>
        <v>123760</v>
      </c>
      <c r="K26" s="83"/>
      <c r="P26" s="288"/>
      <c r="Q26" s="283">
        <f t="shared" si="27"/>
        <v>0.99999999999999989</v>
      </c>
      <c r="R26" s="286">
        <f t="shared" si="12"/>
        <v>39.999999999999993</v>
      </c>
      <c r="S26" s="258">
        <f t="shared" si="13"/>
        <v>119</v>
      </c>
      <c r="T26" s="265">
        <f t="shared" si="14"/>
        <v>8</v>
      </c>
      <c r="U26" s="254">
        <f t="shared" si="28"/>
        <v>19039.999999999993</v>
      </c>
      <c r="V26" s="268">
        <f t="shared" si="29"/>
        <v>4.5</v>
      </c>
      <c r="W26" s="212">
        <f>+R26*V26</f>
        <v>179.99999999999997</v>
      </c>
      <c r="X26" s="254">
        <f t="shared" si="31"/>
        <v>779.39999999999986</v>
      </c>
      <c r="Y26" s="254">
        <f>+X26*X$19</f>
        <v>6235.1999999999989</v>
      </c>
      <c r="Z26" s="258">
        <f t="shared" si="32"/>
        <v>1980159.9999999995</v>
      </c>
      <c r="AA26" s="258">
        <f>+X$15+(Y26*12)</f>
        <v>250582.39999999999</v>
      </c>
      <c r="AB26" s="275">
        <f>+AA26/Z26</f>
        <v>0.12654654169360055</v>
      </c>
      <c r="AC26" s="275">
        <f t="shared" si="16"/>
        <v>0.42687753292523634</v>
      </c>
      <c r="AF26" s="288"/>
      <c r="AG26" s="283">
        <f t="shared" si="33"/>
        <v>0.99999999999999989</v>
      </c>
      <c r="AH26" s="286">
        <f t="shared" si="17"/>
        <v>39.999999999999993</v>
      </c>
      <c r="AI26" s="258">
        <f t="shared" si="18"/>
        <v>139</v>
      </c>
      <c r="AJ26" s="265">
        <f t="shared" si="19"/>
        <v>9</v>
      </c>
      <c r="AK26" s="254">
        <f t="shared" si="34"/>
        <v>25019.999999999993</v>
      </c>
      <c r="AL26" s="268">
        <f t="shared" si="35"/>
        <v>4.5</v>
      </c>
      <c r="AM26" s="212">
        <f>+AH26*AL26</f>
        <v>179.99999999999997</v>
      </c>
      <c r="AN26" s="254">
        <f t="shared" si="37"/>
        <v>779.39999999999986</v>
      </c>
      <c r="AO26" s="254">
        <f>+AN26*AN$19</f>
        <v>7793.9999999999982</v>
      </c>
      <c r="AP26" s="258">
        <f t="shared" si="38"/>
        <v>2602079.9999999995</v>
      </c>
      <c r="AQ26" s="258">
        <f>+AN$15+(AO26*12)</f>
        <v>325448</v>
      </c>
      <c r="AR26" s="275">
        <f>+AQ26/AP26</f>
        <v>0.12507224989239379</v>
      </c>
      <c r="AS26" s="275">
        <f t="shared" si="21"/>
        <v>0.42540324112402961</v>
      </c>
      <c r="AV26" s="288"/>
      <c r="AW26" s="283">
        <f t="shared" si="39"/>
        <v>0.99999999999999989</v>
      </c>
      <c r="AX26" s="286">
        <f t="shared" si="22"/>
        <v>39.999999999999993</v>
      </c>
      <c r="AY26" s="258">
        <f t="shared" si="23"/>
        <v>119</v>
      </c>
      <c r="AZ26" s="265">
        <f t="shared" si="24"/>
        <v>3</v>
      </c>
      <c r="BA26" s="254">
        <f t="shared" si="40"/>
        <v>7139.9999999999973</v>
      </c>
      <c r="BB26" s="268">
        <f t="shared" si="41"/>
        <v>4.5</v>
      </c>
      <c r="BC26" s="212">
        <f>+AX26*BB26</f>
        <v>179.99999999999997</v>
      </c>
      <c r="BD26" s="254">
        <f t="shared" si="43"/>
        <v>779.39999999999986</v>
      </c>
      <c r="BE26" s="254">
        <f>+BD26*BD$19</f>
        <v>2533.0499999999997</v>
      </c>
      <c r="BF26" s="258">
        <f t="shared" si="44"/>
        <v>742559.99999999988</v>
      </c>
      <c r="BG26" s="258">
        <f>+BD$15+(BE26*12)</f>
        <v>97476.6</v>
      </c>
      <c r="BH26" s="275">
        <f>+BG26/BF26</f>
        <v>0.13127100840336137</v>
      </c>
      <c r="BI26" s="275">
        <f t="shared" si="26"/>
        <v>0.43160199963499718</v>
      </c>
    </row>
    <row r="27" spans="1:61" x14ac:dyDescent="0.25">
      <c r="A27" s="1">
        <v>16</v>
      </c>
      <c r="B27" s="84" t="s">
        <v>95</v>
      </c>
      <c r="C27" s="72">
        <f>+C25</f>
        <v>1</v>
      </c>
      <c r="D27" s="72"/>
      <c r="E27" s="72"/>
      <c r="F27" s="75">
        <v>2080</v>
      </c>
      <c r="G27" s="84"/>
      <c r="H27" s="72">
        <f>SUM(H25:H26)</f>
        <v>1040</v>
      </c>
      <c r="I27" s="78">
        <f>SUM(I25:I26)</f>
        <v>41600</v>
      </c>
      <c r="J27" s="78">
        <f>SUM(J26:J26)</f>
        <v>123760</v>
      </c>
      <c r="K27" s="80">
        <f>+I27/J27</f>
        <v>0.33613445378151263</v>
      </c>
      <c r="N27" s="105"/>
      <c r="P27" s="288"/>
      <c r="Q27" s="283">
        <f t="shared" si="27"/>
        <v>1.0999999999999999</v>
      </c>
      <c r="R27" s="286">
        <f t="shared" si="12"/>
        <v>43.999999999999993</v>
      </c>
      <c r="S27" s="258">
        <f t="shared" si="13"/>
        <v>119</v>
      </c>
      <c r="T27" s="265">
        <f t="shared" ref="T27:T28" si="45">+Q$6</f>
        <v>8</v>
      </c>
      <c r="U27" s="254">
        <f t="shared" si="28"/>
        <v>22847.999999999993</v>
      </c>
      <c r="V27" s="268">
        <f t="shared" si="29"/>
        <v>5.25</v>
      </c>
      <c r="W27" s="212">
        <f t="shared" ref="W27:W28" si="46">+R27*V27</f>
        <v>230.99999999999997</v>
      </c>
      <c r="X27" s="254">
        <f t="shared" si="31"/>
        <v>1000.2299999999999</v>
      </c>
      <c r="Y27" s="254">
        <f>+X27*X$19</f>
        <v>8001.8399999999992</v>
      </c>
      <c r="Z27" s="258">
        <f t="shared" si="32"/>
        <v>2178175.9999999995</v>
      </c>
      <c r="AA27" s="258">
        <f>+X$15+(Y27*12)</f>
        <v>271782.07999999996</v>
      </c>
      <c r="AB27" s="275">
        <f t="shared" ref="AB27:AC28" si="47">+AA27/Z27</f>
        <v>0.12477507786331317</v>
      </c>
      <c r="AC27" s="275">
        <f t="shared" si="16"/>
        <v>0.42510606909494897</v>
      </c>
      <c r="AF27" s="288"/>
      <c r="AG27" s="283">
        <f t="shared" si="33"/>
        <v>1.0999999999999999</v>
      </c>
      <c r="AH27" s="286">
        <f t="shared" si="17"/>
        <v>43.999999999999993</v>
      </c>
      <c r="AI27" s="258">
        <f t="shared" si="18"/>
        <v>139</v>
      </c>
      <c r="AJ27" s="265">
        <f t="shared" si="19"/>
        <v>9</v>
      </c>
      <c r="AK27" s="254">
        <f t="shared" si="34"/>
        <v>30023.999999999993</v>
      </c>
      <c r="AL27" s="268">
        <f t="shared" si="35"/>
        <v>5.25</v>
      </c>
      <c r="AM27" s="212">
        <f t="shared" ref="AM27:AM29" si="48">+AH27*AL27</f>
        <v>230.99999999999997</v>
      </c>
      <c r="AN27" s="254">
        <f t="shared" si="37"/>
        <v>1000.2299999999999</v>
      </c>
      <c r="AO27" s="254">
        <f>+AN27*AN$19</f>
        <v>10002.299999999999</v>
      </c>
      <c r="AP27" s="258">
        <f t="shared" si="38"/>
        <v>2862287.9999999995</v>
      </c>
      <c r="AQ27" s="258">
        <f>+AN$15+(AO27*12)</f>
        <v>351947.6</v>
      </c>
      <c r="AR27" s="275">
        <f t="shared" ref="AR27:AR28" si="49">+AQ27/AP27</f>
        <v>0.12296023321203178</v>
      </c>
      <c r="AS27" s="275">
        <f t="shared" si="21"/>
        <v>0.42329122444366762</v>
      </c>
      <c r="AV27" s="288"/>
      <c r="AW27" s="283">
        <f t="shared" si="39"/>
        <v>1.0999999999999999</v>
      </c>
      <c r="AX27" s="286">
        <f t="shared" si="22"/>
        <v>43.999999999999993</v>
      </c>
      <c r="AY27" s="258">
        <f t="shared" si="23"/>
        <v>119</v>
      </c>
      <c r="AZ27" s="265">
        <f t="shared" si="24"/>
        <v>3</v>
      </c>
      <c r="BA27" s="254">
        <f t="shared" si="40"/>
        <v>8567.9999999999964</v>
      </c>
      <c r="BB27" s="268">
        <f t="shared" si="41"/>
        <v>5.25</v>
      </c>
      <c r="BC27" s="212">
        <f t="shared" ref="BC27:BC29" si="50">+AX27*BB27</f>
        <v>230.99999999999997</v>
      </c>
      <c r="BD27" s="254">
        <f t="shared" si="43"/>
        <v>1000.2299999999999</v>
      </c>
      <c r="BE27" s="254">
        <f>+BD27*BD$19</f>
        <v>3250.7474999999995</v>
      </c>
      <c r="BF27" s="258">
        <f t="shared" si="44"/>
        <v>816815.99999999977</v>
      </c>
      <c r="BG27" s="258">
        <f>+BD$15+(BE27*12)</f>
        <v>106088.97</v>
      </c>
      <c r="BH27" s="275">
        <f t="shared" ref="BH27:BH28" si="51">+BG27/BF27</f>
        <v>0.12988111153552334</v>
      </c>
      <c r="BI27" s="275">
        <f t="shared" si="26"/>
        <v>0.43021210276715915</v>
      </c>
    </row>
    <row r="28" spans="1:61" x14ac:dyDescent="0.25">
      <c r="B28" s="43"/>
      <c r="C28" s="44"/>
      <c r="D28" s="44"/>
      <c r="F28" s="81"/>
      <c r="G28" s="49"/>
      <c r="H28" s="67"/>
      <c r="I28" s="106"/>
      <c r="J28" s="33"/>
      <c r="K28" s="48"/>
      <c r="N28" s="105"/>
      <c r="O28" s="1">
        <v>17</v>
      </c>
      <c r="P28" s="288"/>
      <c r="Q28" s="283">
        <f t="shared" si="27"/>
        <v>1.2</v>
      </c>
      <c r="R28" s="286">
        <f t="shared" si="12"/>
        <v>48</v>
      </c>
      <c r="S28" s="258">
        <f t="shared" si="13"/>
        <v>119</v>
      </c>
      <c r="T28" s="265">
        <f t="shared" si="45"/>
        <v>8</v>
      </c>
      <c r="U28" s="254">
        <f t="shared" si="28"/>
        <v>26656</v>
      </c>
      <c r="V28" s="268">
        <f t="shared" si="29"/>
        <v>6</v>
      </c>
      <c r="W28" s="212">
        <f t="shared" si="46"/>
        <v>288</v>
      </c>
      <c r="X28" s="254">
        <f t="shared" si="31"/>
        <v>1247.04</v>
      </c>
      <c r="Y28" s="254">
        <f>+X28*X$19</f>
        <v>9976.32</v>
      </c>
      <c r="Z28" s="258">
        <f t="shared" si="32"/>
        <v>2376192</v>
      </c>
      <c r="AA28" s="258">
        <f>+X$15+(Y28*12)</f>
        <v>295475.83999999997</v>
      </c>
      <c r="AB28" s="275">
        <f t="shared" si="47"/>
        <v>0.12434847015729367</v>
      </c>
      <c r="AC28" s="275">
        <f t="shared" si="16"/>
        <v>0.42467946138892948</v>
      </c>
      <c r="AE28" s="1">
        <v>17</v>
      </c>
      <c r="AF28" s="288"/>
      <c r="AG28" s="283">
        <f t="shared" si="33"/>
        <v>1.2</v>
      </c>
      <c r="AH28" s="286">
        <f t="shared" si="17"/>
        <v>48</v>
      </c>
      <c r="AI28" s="258">
        <f t="shared" si="18"/>
        <v>139</v>
      </c>
      <c r="AJ28" s="265">
        <f t="shared" si="19"/>
        <v>9</v>
      </c>
      <c r="AK28" s="254">
        <f t="shared" si="34"/>
        <v>35028</v>
      </c>
      <c r="AL28" s="268">
        <f t="shared" si="35"/>
        <v>6</v>
      </c>
      <c r="AM28" s="212">
        <f t="shared" si="48"/>
        <v>288</v>
      </c>
      <c r="AN28" s="254">
        <f t="shared" si="37"/>
        <v>1247.04</v>
      </c>
      <c r="AO28" s="254">
        <f>+AN28*AN$19</f>
        <v>12470.4</v>
      </c>
      <c r="AP28" s="258">
        <f t="shared" si="38"/>
        <v>3122496</v>
      </c>
      <c r="AQ28" s="258">
        <f>+AN$15+(AO28*12)</f>
        <v>381564.8</v>
      </c>
      <c r="AR28" s="275">
        <f t="shared" si="49"/>
        <v>0.12219865133534198</v>
      </c>
      <c r="AS28" s="275">
        <f t="shared" si="21"/>
        <v>0.42252964256697778</v>
      </c>
      <c r="AU28" s="1">
        <v>17</v>
      </c>
      <c r="AV28" s="288"/>
      <c r="AW28" s="283">
        <f t="shared" si="39"/>
        <v>1.2</v>
      </c>
      <c r="AX28" s="286">
        <f t="shared" si="22"/>
        <v>48</v>
      </c>
      <c r="AY28" s="258">
        <f t="shared" si="23"/>
        <v>119</v>
      </c>
      <c r="AZ28" s="265">
        <f t="shared" si="24"/>
        <v>3</v>
      </c>
      <c r="BA28" s="254">
        <f t="shared" si="40"/>
        <v>9996</v>
      </c>
      <c r="BB28" s="268">
        <f t="shared" si="41"/>
        <v>6</v>
      </c>
      <c r="BC28" s="212">
        <f t="shared" si="50"/>
        <v>288</v>
      </c>
      <c r="BD28" s="254">
        <f t="shared" si="43"/>
        <v>1247.04</v>
      </c>
      <c r="BE28" s="254">
        <f>+BD28*BD$19</f>
        <v>4052.88</v>
      </c>
      <c r="BF28" s="258">
        <f t="shared" si="44"/>
        <v>891072</v>
      </c>
      <c r="BG28" s="258">
        <f>+BD$15+(BE28*12)</f>
        <v>115714.56</v>
      </c>
      <c r="BH28" s="275">
        <f t="shared" si="51"/>
        <v>0.12985994397759104</v>
      </c>
      <c r="BI28" s="275">
        <f t="shared" si="26"/>
        <v>0.43019093520922685</v>
      </c>
    </row>
    <row r="29" spans="1:61" ht="14.4" thickBot="1" x14ac:dyDescent="0.3">
      <c r="A29" s="1">
        <v>17</v>
      </c>
      <c r="B29" s="84" t="str">
        <f>+B10</f>
        <v>Type 3 Techs - Seasonal (April - August)</v>
      </c>
      <c r="C29" s="72">
        <f>+C10</f>
        <v>1</v>
      </c>
      <c r="D29" s="107">
        <v>14</v>
      </c>
      <c r="E29" s="74" t="s">
        <v>13</v>
      </c>
      <c r="F29" s="75">
        <f>+F10</f>
        <v>880</v>
      </c>
      <c r="G29" s="108">
        <f>+G10</f>
        <v>0.35</v>
      </c>
      <c r="H29" s="109">
        <f>+H10</f>
        <v>308</v>
      </c>
      <c r="I29" s="110">
        <f>+C29*(+F29*D29)</f>
        <v>12320</v>
      </c>
      <c r="J29" s="78">
        <f>+$J$10</f>
        <v>36652</v>
      </c>
      <c r="K29" s="80">
        <f>+I29/J29</f>
        <v>0.33613445378151263</v>
      </c>
      <c r="N29" s="105"/>
      <c r="P29" s="289"/>
      <c r="Q29" s="284">
        <f t="shared" si="27"/>
        <v>1.3</v>
      </c>
      <c r="R29" s="287">
        <f t="shared" si="12"/>
        <v>52</v>
      </c>
      <c r="S29" s="259">
        <f t="shared" si="13"/>
        <v>119</v>
      </c>
      <c r="T29" s="266">
        <f t="shared" ref="T29" si="52">+Q$6</f>
        <v>8</v>
      </c>
      <c r="U29" s="255">
        <f t="shared" si="28"/>
        <v>30464</v>
      </c>
      <c r="V29" s="269">
        <f t="shared" si="29"/>
        <v>6.75</v>
      </c>
      <c r="W29" s="217">
        <f t="shared" ref="W29" si="53">+R29*V29</f>
        <v>351</v>
      </c>
      <c r="X29" s="255">
        <f t="shared" si="31"/>
        <v>1519.83</v>
      </c>
      <c r="Y29" s="255">
        <f>+X29*X$19</f>
        <v>12158.64</v>
      </c>
      <c r="Z29" s="259">
        <f>+X$6+(U29*52)</f>
        <v>2574208</v>
      </c>
      <c r="AA29" s="259">
        <f>+X$15+(Y29*12)</f>
        <v>321663.68</v>
      </c>
      <c r="AB29" s="276">
        <f>+AA29/Z29</f>
        <v>0.12495636716224952</v>
      </c>
      <c r="AC29" s="279">
        <f t="shared" si="16"/>
        <v>0.42528735839388532</v>
      </c>
      <c r="AF29" s="289"/>
      <c r="AG29" s="284">
        <f t="shared" si="33"/>
        <v>1.3</v>
      </c>
      <c r="AH29" s="287">
        <f t="shared" si="17"/>
        <v>52</v>
      </c>
      <c r="AI29" s="259">
        <f t="shared" si="18"/>
        <v>139</v>
      </c>
      <c r="AJ29" s="266">
        <f t="shared" si="19"/>
        <v>9</v>
      </c>
      <c r="AK29" s="255">
        <f t="shared" si="34"/>
        <v>40032</v>
      </c>
      <c r="AL29" s="269">
        <f t="shared" si="35"/>
        <v>6.75</v>
      </c>
      <c r="AM29" s="217">
        <f t="shared" si="48"/>
        <v>351</v>
      </c>
      <c r="AN29" s="255">
        <f t="shared" si="37"/>
        <v>1519.83</v>
      </c>
      <c r="AO29" s="255">
        <f>+AN29*AN$19</f>
        <v>15198.3</v>
      </c>
      <c r="AP29" s="259">
        <f>+AN$6+(AK29*52)</f>
        <v>3382704</v>
      </c>
      <c r="AQ29" s="259">
        <f>+AN$15+(AO29*12)</f>
        <v>414299.6</v>
      </c>
      <c r="AR29" s="276">
        <f>+AQ29/AP29</f>
        <v>0.12247586546147697</v>
      </c>
      <c r="AS29" s="279">
        <f t="shared" si="21"/>
        <v>0.4228068566931128</v>
      </c>
      <c r="AV29" s="289"/>
      <c r="AW29" s="284">
        <f t="shared" si="39"/>
        <v>1.3</v>
      </c>
      <c r="AX29" s="287">
        <f t="shared" si="22"/>
        <v>52</v>
      </c>
      <c r="AY29" s="259">
        <f t="shared" si="23"/>
        <v>119</v>
      </c>
      <c r="AZ29" s="266">
        <f t="shared" si="24"/>
        <v>3</v>
      </c>
      <c r="BA29" s="255">
        <f t="shared" si="40"/>
        <v>11424</v>
      </c>
      <c r="BB29" s="269">
        <f t="shared" si="41"/>
        <v>6.75</v>
      </c>
      <c r="BC29" s="217">
        <f t="shared" si="50"/>
        <v>351</v>
      </c>
      <c r="BD29" s="255">
        <f t="shared" si="43"/>
        <v>1519.83</v>
      </c>
      <c r="BE29" s="255">
        <f>+BD29*BD$19</f>
        <v>4939.4475000000002</v>
      </c>
      <c r="BF29" s="259">
        <f>+BD$6+(BA29*52)</f>
        <v>965328</v>
      </c>
      <c r="BG29" s="259">
        <f>+BD$15+(BE29*12)</f>
        <v>126353.37</v>
      </c>
      <c r="BH29" s="276">
        <f>+BG29/BF29</f>
        <v>0.13089164511958629</v>
      </c>
      <c r="BI29" s="279">
        <f t="shared" si="26"/>
        <v>0.4312226363512221</v>
      </c>
    </row>
    <row r="30" spans="1:61" x14ac:dyDescent="0.25">
      <c r="D30" s="17"/>
      <c r="E30" s="17"/>
      <c r="F30" s="81"/>
      <c r="G30" s="17"/>
      <c r="H30" s="17"/>
      <c r="I30" s="70"/>
      <c r="K30" s="48"/>
      <c r="Y30" s="20"/>
      <c r="AA30" s="281"/>
      <c r="AB30" s="281"/>
      <c r="AC30" s="282" t="s">
        <v>155</v>
      </c>
      <c r="AO30" s="20"/>
      <c r="AQ30" s="281"/>
      <c r="AR30" s="281"/>
      <c r="AS30" s="282" t="s">
        <v>155</v>
      </c>
      <c r="BE30" s="20"/>
      <c r="BG30" s="281"/>
      <c r="BH30" s="281"/>
      <c r="BI30" s="282" t="s">
        <v>155</v>
      </c>
    </row>
    <row r="31" spans="1:61" ht="14.1" customHeight="1" thickBot="1" x14ac:dyDescent="0.3">
      <c r="A31" s="1">
        <v>18</v>
      </c>
      <c r="B31" s="50" t="s">
        <v>49</v>
      </c>
      <c r="C31" s="51">
        <f>+C11</f>
        <v>4</v>
      </c>
      <c r="D31" s="52"/>
      <c r="E31" s="111"/>
      <c r="F31" s="112">
        <f>+F23+F27+F29</f>
        <v>7120</v>
      </c>
      <c r="G31" s="113">
        <f>+H31/F31</f>
        <v>0.56910112359550558</v>
      </c>
      <c r="H31" s="111">
        <f>+H23+H27+H29</f>
        <v>4052</v>
      </c>
      <c r="I31" s="57">
        <f>+I23+I27+I29</f>
        <v>144816</v>
      </c>
      <c r="J31" s="58">
        <f>+J11</f>
        <v>482188</v>
      </c>
      <c r="K31" s="114">
        <f>+I31/J31</f>
        <v>0.30033099123163581</v>
      </c>
      <c r="P31" s="280" t="s">
        <v>182</v>
      </c>
      <c r="AA31" s="281"/>
      <c r="AB31" s="281"/>
      <c r="AC31" s="282" t="s">
        <v>156</v>
      </c>
      <c r="AF31" s="280" t="s">
        <v>182</v>
      </c>
      <c r="AQ31" s="281"/>
      <c r="AR31" s="281"/>
      <c r="AS31" s="282" t="s">
        <v>156</v>
      </c>
      <c r="AV31" s="280" t="s">
        <v>182</v>
      </c>
      <c r="BG31" s="281"/>
      <c r="BH31" s="281"/>
      <c r="BI31" s="282" t="s">
        <v>156</v>
      </c>
    </row>
    <row r="32" spans="1:61" ht="14.4" thickTop="1" x14ac:dyDescent="0.25">
      <c r="A32" s="1">
        <v>19</v>
      </c>
      <c r="B32" s="115" t="s">
        <v>50</v>
      </c>
      <c r="C32" s="116"/>
      <c r="D32" s="117" t="s">
        <v>88</v>
      </c>
      <c r="E32" s="118"/>
      <c r="F32" s="119"/>
      <c r="G32" s="118" t="s">
        <v>89</v>
      </c>
      <c r="H32" s="120">
        <f>+M11</f>
        <v>144656.4</v>
      </c>
      <c r="I32" s="121">
        <f>+M11-I31</f>
        <v>-159.60000000000582</v>
      </c>
      <c r="J32" s="122">
        <f>+I32/M11</f>
        <v>-1.1033041054526853E-3</v>
      </c>
      <c r="O32" s="1" t="s">
        <v>184</v>
      </c>
      <c r="P32" s="9" t="s">
        <v>187</v>
      </c>
      <c r="AE32" s="1" t="s">
        <v>184</v>
      </c>
      <c r="AF32" s="9" t="s">
        <v>187</v>
      </c>
      <c r="AU32" s="1" t="s">
        <v>184</v>
      </c>
      <c r="AV32" s="9" t="s">
        <v>187</v>
      </c>
    </row>
    <row r="33" spans="1:54" x14ac:dyDescent="0.25">
      <c r="B33" s="9"/>
      <c r="C33" s="9"/>
      <c r="D33" s="9"/>
      <c r="E33" s="9"/>
      <c r="F33" s="9"/>
      <c r="G33" s="9"/>
      <c r="H33" s="9"/>
      <c r="I33" s="9"/>
      <c r="O33" s="1" t="s">
        <v>184</v>
      </c>
      <c r="P33" s="9" t="s">
        <v>186</v>
      </c>
      <c r="Q33" s="9"/>
      <c r="R33" s="9"/>
      <c r="S33" s="9"/>
      <c r="T33" s="9"/>
      <c r="U33" s="9"/>
      <c r="AE33" s="1" t="s">
        <v>184</v>
      </c>
      <c r="AF33" s="9" t="s">
        <v>186</v>
      </c>
      <c r="AG33" s="9"/>
      <c r="AH33" s="9"/>
      <c r="AI33" s="9"/>
      <c r="AJ33" s="9"/>
      <c r="AK33" s="9"/>
      <c r="AU33" s="1" t="s">
        <v>184</v>
      </c>
      <c r="AV33" s="9" t="s">
        <v>186</v>
      </c>
      <c r="AW33" s="9"/>
      <c r="AX33" s="9"/>
      <c r="AY33" s="9"/>
      <c r="AZ33" s="9"/>
      <c r="BA33" s="9"/>
    </row>
    <row r="34" spans="1:54" x14ac:dyDescent="0.25">
      <c r="B34" s="9"/>
      <c r="C34" s="9"/>
      <c r="D34" s="9"/>
      <c r="E34" s="9"/>
      <c r="F34" s="9"/>
      <c r="G34" s="9"/>
      <c r="H34" s="9"/>
      <c r="I34" s="9"/>
    </row>
    <row r="35" spans="1:54" x14ac:dyDescent="0.25">
      <c r="V35" s="126"/>
      <c r="AL35" s="126"/>
      <c r="BB35" s="126"/>
    </row>
    <row r="36" spans="1:54" ht="42" thickBot="1" x14ac:dyDescent="0.45">
      <c r="B36" s="224" t="s">
        <v>114</v>
      </c>
      <c r="C36" s="203" t="s">
        <v>59</v>
      </c>
      <c r="D36" s="204"/>
      <c r="E36" s="203" t="s">
        <v>110</v>
      </c>
      <c r="F36" s="203" t="s">
        <v>111</v>
      </c>
      <c r="G36" s="205"/>
      <c r="V36" s="126"/>
      <c r="AL36" s="126"/>
      <c r="BB36" s="126"/>
    </row>
    <row r="37" spans="1:54" x14ac:dyDescent="0.25">
      <c r="A37" s="1">
        <v>1</v>
      </c>
      <c r="B37" s="123" t="s">
        <v>107</v>
      </c>
      <c r="C37" s="206">
        <v>12</v>
      </c>
      <c r="D37" s="207"/>
      <c r="E37" s="208"/>
      <c r="F37" s="208"/>
      <c r="G37" s="209"/>
    </row>
    <row r="38" spans="1:54" x14ac:dyDescent="0.25">
      <c r="A38" s="1">
        <v>2</v>
      </c>
      <c r="B38" s="124" t="s">
        <v>54</v>
      </c>
      <c r="C38" s="210">
        <v>1</v>
      </c>
      <c r="D38" s="211">
        <f>+C38+C37</f>
        <v>13</v>
      </c>
      <c r="E38" s="212"/>
      <c r="F38" s="212"/>
      <c r="G38" s="213"/>
    </row>
    <row r="39" spans="1:54" x14ac:dyDescent="0.25">
      <c r="A39" s="1">
        <v>3</v>
      </c>
      <c r="B39" s="124" t="s">
        <v>55</v>
      </c>
      <c r="C39" s="210">
        <v>1</v>
      </c>
      <c r="D39" s="211">
        <f>+D38+C39</f>
        <v>14</v>
      </c>
      <c r="E39" s="212"/>
      <c r="F39" s="212"/>
      <c r="G39" s="213"/>
      <c r="V39" s="126"/>
      <c r="AL39" s="126"/>
      <c r="BB39" s="126"/>
    </row>
    <row r="40" spans="1:54" x14ac:dyDescent="0.25">
      <c r="A40" s="1">
        <v>4</v>
      </c>
      <c r="B40" s="125" t="s">
        <v>56</v>
      </c>
      <c r="C40" s="214">
        <v>1</v>
      </c>
      <c r="D40" s="215">
        <f>+D39+C40</f>
        <v>15</v>
      </c>
      <c r="E40" s="214">
        <v>2</v>
      </c>
      <c r="F40" s="214"/>
      <c r="G40" s="216">
        <f>+D40+E40</f>
        <v>17</v>
      </c>
      <c r="H40" s="126"/>
      <c r="V40" s="126"/>
      <c r="AL40" s="126"/>
      <c r="BB40" s="126"/>
    </row>
    <row r="41" spans="1:54" x14ac:dyDescent="0.25">
      <c r="A41" s="1">
        <v>5</v>
      </c>
      <c r="B41" s="222" t="s">
        <v>113</v>
      </c>
      <c r="C41" s="210">
        <v>1.5</v>
      </c>
      <c r="D41" s="211">
        <f t="shared" ref="D41:D43" si="54">+D40+C41</f>
        <v>16.5</v>
      </c>
      <c r="E41" s="210">
        <v>2</v>
      </c>
      <c r="F41" s="210">
        <f>+E40+E41</f>
        <v>4</v>
      </c>
      <c r="G41" s="213">
        <f>+D41+F41</f>
        <v>20.5</v>
      </c>
      <c r="H41" s="126"/>
    </row>
    <row r="42" spans="1:54" x14ac:dyDescent="0.25">
      <c r="A42" s="1">
        <v>6</v>
      </c>
      <c r="B42" s="124" t="s">
        <v>57</v>
      </c>
      <c r="C42" s="210">
        <v>1.5</v>
      </c>
      <c r="D42" s="211">
        <f t="shared" si="54"/>
        <v>18</v>
      </c>
      <c r="E42" s="210">
        <v>2</v>
      </c>
      <c r="F42" s="210">
        <f>+F41+E42</f>
        <v>6</v>
      </c>
      <c r="G42" s="213">
        <f t="shared" ref="G42:G43" si="55">+D42+F42</f>
        <v>24</v>
      </c>
      <c r="H42" s="126"/>
    </row>
    <row r="43" spans="1:54" x14ac:dyDescent="0.25">
      <c r="A43" s="1">
        <v>7</v>
      </c>
      <c r="B43" s="124" t="s">
        <v>58</v>
      </c>
      <c r="C43" s="210">
        <v>2</v>
      </c>
      <c r="D43" s="211">
        <f t="shared" si="54"/>
        <v>20</v>
      </c>
      <c r="E43" s="210">
        <v>2</v>
      </c>
      <c r="F43" s="210">
        <f>+F42+E43</f>
        <v>8</v>
      </c>
      <c r="G43" s="213">
        <f t="shared" si="55"/>
        <v>28</v>
      </c>
      <c r="H43" s="126"/>
    </row>
    <row r="44" spans="1:54" ht="14.4" thickBot="1" x14ac:dyDescent="0.3">
      <c r="B44" s="127"/>
      <c r="C44" s="217"/>
      <c r="D44" s="218"/>
      <c r="E44" s="217"/>
      <c r="F44" s="217"/>
      <c r="G44" s="219"/>
    </row>
    <row r="45" spans="1:54" x14ac:dyDescent="0.25">
      <c r="B45" s="9"/>
      <c r="C45" s="9"/>
      <c r="D45" s="9"/>
      <c r="E45" s="9"/>
      <c r="F45" s="9"/>
      <c r="G45" s="9"/>
    </row>
  </sheetData>
  <printOptions horizontalCentered="1" verticalCentered="1"/>
  <pageMargins left="0.25" right="0.25" top="0.25" bottom="0.25" header="0" footer="0"/>
  <pageSetup scale="66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40"/>
  <sheetViews>
    <sheetView topLeftCell="A7" zoomScale="110" zoomScaleNormal="110" workbookViewId="0">
      <selection activeCell="N26" sqref="N26"/>
    </sheetView>
  </sheetViews>
  <sheetFormatPr defaultColWidth="8.88671875" defaultRowHeight="13.8" x14ac:dyDescent="0.25"/>
  <cols>
    <col min="1" max="1" width="8.88671875" style="9"/>
    <col min="2" max="2" width="4.6640625" style="1" customWidth="1"/>
    <col min="3" max="3" width="36" style="17" customWidth="1"/>
    <col min="4" max="4" width="15.44140625" style="21" bestFit="1" customWidth="1"/>
    <col min="5" max="5" width="16.44140625" style="20" customWidth="1"/>
    <col min="6" max="6" width="14.44140625" style="21" customWidth="1"/>
    <col min="7" max="7" width="15.88671875" style="20" bestFit="1" customWidth="1"/>
    <col min="8" max="8" width="4.5546875" style="1" customWidth="1"/>
    <col min="9" max="9" width="20.5546875" style="21" bestFit="1" customWidth="1"/>
    <col min="10" max="10" width="11.109375" style="9" bestFit="1" customWidth="1"/>
    <col min="11" max="16384" width="8.88671875" style="9"/>
  </cols>
  <sheetData>
    <row r="1" spans="2:12" ht="21" x14ac:dyDescent="0.4">
      <c r="C1" s="262" t="s">
        <v>171</v>
      </c>
      <c r="D1" s="262"/>
      <c r="E1" s="262"/>
      <c r="F1" s="262"/>
      <c r="G1" s="262"/>
      <c r="H1" s="262"/>
      <c r="I1" s="262"/>
      <c r="J1" s="262"/>
    </row>
    <row r="2" spans="2:12" s="17" customFormat="1" ht="41.4" x14ac:dyDescent="0.25">
      <c r="B2" s="1" t="s">
        <v>112</v>
      </c>
      <c r="C2" s="226" t="s">
        <v>0</v>
      </c>
      <c r="D2" s="227" t="s">
        <v>71</v>
      </c>
      <c r="E2" s="228" t="s">
        <v>2</v>
      </c>
      <c r="F2" s="229" t="s">
        <v>3</v>
      </c>
      <c r="G2" s="230" t="s">
        <v>83</v>
      </c>
      <c r="H2" s="231"/>
      <c r="I2" s="229"/>
      <c r="J2" s="232" t="s">
        <v>12</v>
      </c>
    </row>
    <row r="3" spans="2:12" x14ac:dyDescent="0.25">
      <c r="C3" s="18" t="s">
        <v>15</v>
      </c>
      <c r="D3" s="19"/>
      <c r="G3" s="271">
        <v>0.05</v>
      </c>
    </row>
    <row r="4" spans="2:12" x14ac:dyDescent="0.25">
      <c r="C4" s="43"/>
      <c r="D4" s="43"/>
      <c r="E4" s="43"/>
      <c r="F4" s="43"/>
      <c r="G4" s="43"/>
      <c r="H4" s="43"/>
      <c r="I4" s="43"/>
      <c r="J4" s="129"/>
    </row>
    <row r="5" spans="2:12" x14ac:dyDescent="0.25">
      <c r="B5" s="1">
        <v>1</v>
      </c>
      <c r="C5" s="43" t="s">
        <v>117</v>
      </c>
      <c r="D5" s="145">
        <f>+'Sales Dept'!M5</f>
        <v>12000000</v>
      </c>
      <c r="E5" s="146">
        <f>+'Sales Dept'!N5</f>
        <v>0.18</v>
      </c>
      <c r="F5" s="145">
        <f>+D5*E5</f>
        <v>2160000</v>
      </c>
      <c r="G5" s="176"/>
      <c r="H5" s="153"/>
      <c r="J5" s="129"/>
    </row>
    <row r="6" spans="2:12" x14ac:dyDescent="0.25">
      <c r="B6" s="1">
        <v>2</v>
      </c>
      <c r="C6" s="43" t="s">
        <v>165</v>
      </c>
      <c r="D6" s="145">
        <f>+'Parts Dept'!M6</f>
        <v>1000000</v>
      </c>
      <c r="E6" s="146">
        <f>+'Parts Dept'!N6</f>
        <v>0.3</v>
      </c>
      <c r="F6" s="145">
        <f>+D6*E6</f>
        <v>300000</v>
      </c>
      <c r="G6" s="176"/>
      <c r="H6" s="153"/>
      <c r="J6" s="129"/>
    </row>
    <row r="7" spans="2:12" x14ac:dyDescent="0.25">
      <c r="B7" s="1">
        <v>3</v>
      </c>
      <c r="C7" s="43" t="s">
        <v>166</v>
      </c>
      <c r="D7" s="145">
        <f>+'Service Dept'!X6</f>
        <v>990080</v>
      </c>
      <c r="E7" s="146">
        <v>1</v>
      </c>
      <c r="F7" s="145">
        <f>+D7*E7</f>
        <v>990080</v>
      </c>
      <c r="G7" s="176"/>
      <c r="H7" s="153"/>
      <c r="J7" s="129"/>
    </row>
    <row r="8" spans="2:12" x14ac:dyDescent="0.25">
      <c r="C8" s="43"/>
      <c r="D8" s="145"/>
      <c r="E8" s="146"/>
      <c r="F8" s="145"/>
      <c r="G8" s="176"/>
      <c r="H8" s="153"/>
      <c r="J8" s="129"/>
    </row>
    <row r="9" spans="2:12" ht="14.1" customHeight="1" x14ac:dyDescent="0.25">
      <c r="C9" s="43"/>
      <c r="D9" s="43"/>
      <c r="E9" s="43"/>
      <c r="F9" s="43"/>
      <c r="G9" s="43"/>
      <c r="H9" s="43"/>
      <c r="I9" s="43"/>
    </row>
    <row r="10" spans="2:12" ht="14.4" thickBot="1" x14ac:dyDescent="0.3">
      <c r="B10" s="1">
        <v>4</v>
      </c>
      <c r="C10" s="50" t="s">
        <v>14</v>
      </c>
      <c r="D10" s="57">
        <f>SUM(D5:D9)</f>
        <v>13990080</v>
      </c>
      <c r="E10" s="113">
        <f>+F10/D10</f>
        <v>0.24660902582401245</v>
      </c>
      <c r="F10" s="57">
        <f>SUM(F5:F9)</f>
        <v>3450080</v>
      </c>
      <c r="G10" s="113">
        <f>+G3</f>
        <v>0.05</v>
      </c>
      <c r="H10" s="133"/>
      <c r="I10" s="57">
        <f>+F10*G10</f>
        <v>172504</v>
      </c>
      <c r="J10" s="126" t="s">
        <v>167</v>
      </c>
    </row>
    <row r="11" spans="2:12" s="48" customFormat="1" ht="14.4" thickTop="1" x14ac:dyDescent="0.25">
      <c r="B11" s="153"/>
      <c r="C11" s="157"/>
      <c r="D11" s="158"/>
      <c r="E11" s="160"/>
      <c r="F11" s="158"/>
      <c r="G11" s="160"/>
      <c r="H11" s="175"/>
      <c r="I11" s="158"/>
      <c r="J11" s="176"/>
    </row>
    <row r="13" spans="2:12" x14ac:dyDescent="0.25">
      <c r="C13" s="61" t="s">
        <v>168</v>
      </c>
      <c r="D13" s="134" t="s">
        <v>72</v>
      </c>
      <c r="F13" s="134" t="s">
        <v>73</v>
      </c>
      <c r="I13" s="177" t="s">
        <v>172</v>
      </c>
      <c r="K13" s="243" t="s">
        <v>188</v>
      </c>
      <c r="L13" s="243"/>
    </row>
    <row r="14" spans="2:12" x14ac:dyDescent="0.25">
      <c r="B14" s="1">
        <v>5</v>
      </c>
      <c r="C14" s="18" t="s">
        <v>118</v>
      </c>
      <c r="D14" s="135">
        <v>8500</v>
      </c>
      <c r="E14" s="20" t="s">
        <v>13</v>
      </c>
      <c r="F14" s="136">
        <v>12</v>
      </c>
      <c r="H14" s="1" t="s">
        <v>6</v>
      </c>
      <c r="I14" s="130">
        <f>+D14*F14</f>
        <v>102000</v>
      </c>
      <c r="J14" s="126">
        <f>+I14/F$10</f>
        <v>2.9564531836942912E-2</v>
      </c>
      <c r="K14" s="313">
        <f>+I14/I10</f>
        <v>0.59129063673885818</v>
      </c>
      <c r="L14" s="243" t="s">
        <v>72</v>
      </c>
    </row>
    <row r="15" spans="2:12" x14ac:dyDescent="0.25">
      <c r="C15" s="43"/>
    </row>
    <row r="16" spans="2:12" x14ac:dyDescent="0.25">
      <c r="B16" s="1">
        <v>6</v>
      </c>
      <c r="C16" s="234" t="s">
        <v>173</v>
      </c>
      <c r="D16" s="235"/>
      <c r="E16" s="236"/>
      <c r="F16" s="235"/>
      <c r="G16" s="236"/>
      <c r="H16" s="237"/>
      <c r="I16" s="235">
        <f>+I10-I14</f>
        <v>70504</v>
      </c>
      <c r="K16" s="294">
        <f>+I16/I10</f>
        <v>0.40870936326114177</v>
      </c>
      <c r="L16" s="243" t="s">
        <v>119</v>
      </c>
    </row>
    <row r="17" spans="1:19" x14ac:dyDescent="0.25">
      <c r="C17" s="141"/>
      <c r="D17" s="60"/>
      <c r="E17" s="142"/>
      <c r="F17" s="60"/>
      <c r="G17" s="142"/>
      <c r="H17" s="143"/>
      <c r="I17" s="60"/>
    </row>
    <row r="18" spans="1:19" x14ac:dyDescent="0.25">
      <c r="G18" s="20" t="s">
        <v>60</v>
      </c>
    </row>
    <row r="19" spans="1:19" ht="14.1" customHeight="1" x14ac:dyDescent="0.25">
      <c r="B19" s="1">
        <v>7</v>
      </c>
      <c r="C19" s="43" t="s">
        <v>119</v>
      </c>
      <c r="D19" s="145">
        <f>+D10</f>
        <v>13990080</v>
      </c>
      <c r="E19" s="176">
        <f>+E10</f>
        <v>0.24660902582401245</v>
      </c>
      <c r="F19" s="21">
        <f>+D19*E19</f>
        <v>3450080</v>
      </c>
      <c r="G19" s="233">
        <v>0.02</v>
      </c>
      <c r="H19" s="1" t="s">
        <v>6</v>
      </c>
      <c r="I19" s="21">
        <f>+F19*G19</f>
        <v>69001.600000000006</v>
      </c>
    </row>
    <row r="20" spans="1:19" x14ac:dyDescent="0.25">
      <c r="B20" s="1">
        <v>8</v>
      </c>
      <c r="C20" s="43"/>
      <c r="D20" s="43"/>
      <c r="E20" s="43"/>
      <c r="F20" s="43"/>
      <c r="G20" s="43"/>
      <c r="H20" s="43"/>
    </row>
    <row r="21" spans="1:19" ht="14.1" customHeight="1" x14ac:dyDescent="0.25">
      <c r="B21" s="1">
        <v>9</v>
      </c>
      <c r="C21" s="34" t="s">
        <v>121</v>
      </c>
      <c r="D21" s="179"/>
      <c r="E21" s="180"/>
      <c r="F21" s="179"/>
      <c r="G21" s="183"/>
      <c r="H21" s="181"/>
      <c r="I21" s="179">
        <f>SUM(I19:I20)</f>
        <v>69001.600000000006</v>
      </c>
      <c r="J21" s="83"/>
    </row>
    <row r="22" spans="1:19" ht="14.1" customHeight="1" x14ac:dyDescent="0.25">
      <c r="B22" s="1">
        <v>10</v>
      </c>
      <c r="C22" s="84" t="s">
        <v>122</v>
      </c>
      <c r="D22" s="184">
        <f>SUM(D19:D21)</f>
        <v>13990080</v>
      </c>
      <c r="E22" s="278">
        <f>+F22/D22</f>
        <v>0.24660902582401245</v>
      </c>
      <c r="F22" s="184">
        <f>SUM(F19:F21)</f>
        <v>3450080</v>
      </c>
      <c r="G22" s="186"/>
      <c r="H22" s="187"/>
      <c r="I22" s="184">
        <f>+I14+I21</f>
        <v>171001.60000000001</v>
      </c>
      <c r="J22" s="295">
        <f>+I22/F22</f>
        <v>4.9564531836942913E-2</v>
      </c>
    </row>
    <row r="23" spans="1:19" x14ac:dyDescent="0.25">
      <c r="C23" s="178"/>
      <c r="E23" s="146"/>
      <c r="G23" s="150" t="s">
        <v>109</v>
      </c>
      <c r="H23" s="305"/>
      <c r="I23" s="189">
        <f>+I10-I22</f>
        <v>1502.3999999999942</v>
      </c>
    </row>
    <row r="24" spans="1:19" ht="14.1" customHeight="1" x14ac:dyDescent="0.25">
      <c r="C24" s="9"/>
      <c r="D24" s="9"/>
      <c r="E24" s="9"/>
      <c r="G24" s="21"/>
      <c r="I24" s="1"/>
    </row>
    <row r="25" spans="1:19" s="17" customFormat="1" x14ac:dyDescent="0.25">
      <c r="B25" s="10">
        <v>11</v>
      </c>
      <c r="C25" s="309" t="s">
        <v>174</v>
      </c>
      <c r="D25" s="310" t="s">
        <v>176</v>
      </c>
      <c r="E25" s="310" t="s">
        <v>175</v>
      </c>
      <c r="F25" s="311" t="s">
        <v>179</v>
      </c>
    </row>
    <row r="26" spans="1:19" x14ac:dyDescent="0.25">
      <c r="B26" s="1">
        <v>12</v>
      </c>
      <c r="C26" s="9" t="s">
        <v>177</v>
      </c>
      <c r="D26" s="191">
        <v>0.09</v>
      </c>
      <c r="E26" s="191">
        <v>0.05</v>
      </c>
      <c r="F26" s="312">
        <f>+D26-E26</f>
        <v>3.9999999999999994E-2</v>
      </c>
      <c r="G26" s="21"/>
      <c r="H26" s="9"/>
      <c r="I26" s="9"/>
    </row>
    <row r="27" spans="1:19" x14ac:dyDescent="0.25">
      <c r="B27" s="1">
        <v>13</v>
      </c>
      <c r="C27" s="178" t="s">
        <v>178</v>
      </c>
      <c r="D27" s="21">
        <f>+$D22*D26</f>
        <v>1259107.2</v>
      </c>
      <c r="E27" s="21">
        <f>+$D22*E26</f>
        <v>699504</v>
      </c>
      <c r="F27" s="296">
        <f>+D27-E27</f>
        <v>559603.19999999995</v>
      </c>
      <c r="G27" s="21"/>
      <c r="H27" s="9"/>
      <c r="I27" s="9"/>
    </row>
    <row r="28" spans="1:19" x14ac:dyDescent="0.25">
      <c r="C28" s="178"/>
      <c r="E28" s="9"/>
      <c r="F28" s="9"/>
      <c r="G28" s="21"/>
    </row>
    <row r="29" spans="1:19" x14ac:dyDescent="0.25">
      <c r="B29" s="1">
        <v>14</v>
      </c>
      <c r="C29" s="178" t="s">
        <v>180</v>
      </c>
      <c r="D29" s="9"/>
      <c r="E29" s="9"/>
      <c r="F29" s="191">
        <v>0.1</v>
      </c>
      <c r="G29" s="21"/>
    </row>
    <row r="30" spans="1:19" x14ac:dyDescent="0.25">
      <c r="B30" s="1">
        <v>15</v>
      </c>
      <c r="C30" s="178" t="s">
        <v>181</v>
      </c>
      <c r="D30" s="9"/>
      <c r="E30" s="9"/>
      <c r="F30" s="21">
        <f>+$F27*F29</f>
        <v>55960.32</v>
      </c>
      <c r="G30" s="21"/>
      <c r="I30" s="307">
        <f>+F30</f>
        <v>55960.32</v>
      </c>
    </row>
    <row r="31" spans="1:19" ht="14.4" thickBot="1" x14ac:dyDescent="0.3">
      <c r="B31" s="1">
        <v>16</v>
      </c>
      <c r="C31" s="9"/>
      <c r="D31" s="9"/>
      <c r="E31" s="9"/>
      <c r="G31" s="21"/>
      <c r="I31" s="308">
        <f>+I22+I30</f>
        <v>226961.92000000001</v>
      </c>
      <c r="J31" s="126">
        <f>+I31/F22</f>
        <v>6.5784538329545991E-2</v>
      </c>
    </row>
    <row r="32" spans="1:19" s="1" customFormat="1" ht="14.4" thickTop="1" x14ac:dyDescent="0.25">
      <c r="A32" s="9"/>
      <c r="B32" s="1">
        <v>17</v>
      </c>
      <c r="E32" s="21"/>
      <c r="F32" s="21"/>
      <c r="G32" s="150" t="s">
        <v>109</v>
      </c>
      <c r="H32" s="305"/>
      <c r="I32" s="189">
        <f>+I10-I31</f>
        <v>-54457.920000000013</v>
      </c>
      <c r="J32" s="126">
        <f>+I32/F22</f>
        <v>-1.5784538329545985E-2</v>
      </c>
      <c r="K32" s="9"/>
      <c r="L32" s="9"/>
      <c r="M32" s="9"/>
      <c r="N32" s="9"/>
      <c r="O32" s="9"/>
      <c r="P32" s="9"/>
      <c r="Q32" s="9"/>
      <c r="R32" s="9"/>
      <c r="S32" s="9"/>
    </row>
    <row r="33" spans="1:19" s="1" customFormat="1" x14ac:dyDescent="0.25">
      <c r="A33" s="9"/>
      <c r="F33" s="21"/>
      <c r="G33" s="20"/>
      <c r="I33" s="21"/>
      <c r="J33" s="9"/>
      <c r="K33" s="9"/>
      <c r="L33" s="9"/>
      <c r="M33" s="9"/>
      <c r="N33" s="9"/>
      <c r="O33" s="9"/>
      <c r="P33" s="9"/>
      <c r="Q33" s="9"/>
      <c r="R33" s="9"/>
      <c r="S33" s="9"/>
    </row>
    <row r="34" spans="1:19" s="1" customFormat="1" x14ac:dyDescent="0.25">
      <c r="A34" s="9"/>
      <c r="C34" s="280" t="s">
        <v>182</v>
      </c>
      <c r="D34" s="21"/>
      <c r="E34" s="20"/>
      <c r="F34" s="21"/>
      <c r="G34" s="20"/>
      <c r="I34" s="21"/>
      <c r="J34" s="9"/>
      <c r="K34" s="9"/>
      <c r="L34" s="9"/>
      <c r="M34" s="9"/>
      <c r="N34" s="9"/>
      <c r="O34" s="9"/>
      <c r="P34" s="9"/>
      <c r="Q34" s="9"/>
      <c r="R34" s="9"/>
      <c r="S34" s="9"/>
    </row>
    <row r="35" spans="1:19" s="1" customFormat="1" x14ac:dyDescent="0.25">
      <c r="A35" s="9"/>
      <c r="B35" s="1" t="s">
        <v>184</v>
      </c>
      <c r="C35" s="9" t="s">
        <v>183</v>
      </c>
      <c r="D35" s="21"/>
      <c r="E35" s="20"/>
      <c r="F35" s="21"/>
      <c r="G35" s="20"/>
      <c r="I35" s="21"/>
      <c r="J35" s="9"/>
      <c r="K35" s="9"/>
      <c r="L35" s="9"/>
      <c r="M35" s="9"/>
      <c r="N35" s="9"/>
      <c r="O35" s="9"/>
      <c r="P35" s="9"/>
      <c r="Q35" s="9"/>
      <c r="R35" s="9"/>
      <c r="S35" s="9"/>
    </row>
    <row r="36" spans="1:19" x14ac:dyDescent="0.25">
      <c r="B36" s="1" t="s">
        <v>184</v>
      </c>
      <c r="C36" s="9" t="s">
        <v>185</v>
      </c>
    </row>
    <row r="37" spans="1:19" x14ac:dyDescent="0.25">
      <c r="B37" s="1" t="s">
        <v>184</v>
      </c>
      <c r="C37" s="9" t="s">
        <v>186</v>
      </c>
    </row>
    <row r="38" spans="1:19" x14ac:dyDescent="0.25">
      <c r="C38" s="9"/>
    </row>
    <row r="39" spans="1:19" x14ac:dyDescent="0.25">
      <c r="C39" s="9"/>
    </row>
    <row r="40" spans="1:19" x14ac:dyDescent="0.25">
      <c r="C40" s="9"/>
    </row>
  </sheetData>
  <mergeCells count="1">
    <mergeCell ref="C1:J1"/>
  </mergeCells>
  <pageMargins left="0.7" right="0.7" top="0.75" bottom="0.75" header="0.3" footer="0.3"/>
  <pageSetup scale="75" fitToHeight="0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Sales Dept</vt:lpstr>
      <vt:lpstr>Parts Dept</vt:lpstr>
      <vt:lpstr>Service Dept</vt:lpstr>
      <vt:lpstr>Gen Mgr</vt:lpstr>
      <vt:lpstr>'Parts Dept'!Print_Area</vt:lpstr>
      <vt:lpstr>'Sales Dept'!Print_Area</vt:lpstr>
      <vt:lpstr>'Service Dept'!Print_Area</vt:lpstr>
    </vt:vector>
  </TitlesOfParts>
  <Company>Parker Business Planning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Parker</dc:creator>
  <cp:lastModifiedBy>Dparker</cp:lastModifiedBy>
  <cp:lastPrinted>2016-11-19T03:29:19Z</cp:lastPrinted>
  <dcterms:created xsi:type="dcterms:W3CDTF">2011-09-13T16:45:43Z</dcterms:created>
  <dcterms:modified xsi:type="dcterms:W3CDTF">2016-11-19T19:30:06Z</dcterms:modified>
</cp:coreProperties>
</file>